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0" yWindow="0" windowWidth="23040" windowHeight="9045" tabRatio="830"/>
  </bookViews>
  <sheets>
    <sheet name="Περιγραφή Έργου" sheetId="2" r:id="rId1"/>
    <sheet name="Γενικά Δεδομένα" sheetId="4" r:id="rId2"/>
    <sheet name="Συμβατικά ΦΣ" sheetId="1" r:id="rId3"/>
    <sheet name="Νέα ΦΣ" sheetId="6" r:id="rId4"/>
    <sheet name="Βραχίονες" sheetId="10" r:id="rId5"/>
    <sheet name="Αποτελέσματα" sheetId="8" r:id="rId6"/>
    <sheet name="Υπολογισμοί" sheetId="7" r:id="rId7"/>
    <sheet name="Οικονομικότητα" sheetId="13" r:id="rId8"/>
    <sheet name="Δάνειο" sheetId="12" r:id="rId9"/>
    <sheet name="Βοήθεια" sheetId="5" r:id="rId10"/>
    <sheet name="Πίνακες Αιτήματος" sheetId="14" r:id="rId11"/>
  </sheets>
  <definedNames>
    <definedName name="_Toc471896888" localSheetId="10">'Πίνακες Αιτήματος'!#REF!</definedName>
    <definedName name="fs_led">Βοήθεια!$B$39:$B$53</definedName>
    <definedName name="fs_non_led">Βοήθεια!$A$16:$A$30</definedName>
    <definedName name="min_luminary_efficacy">'Γενικά Δεδομένα'!$I$26</definedName>
  </definedNames>
  <calcPr calcId="162913"/>
</workbook>
</file>

<file path=xl/calcChain.xml><?xml version="1.0" encoding="utf-8"?>
<calcChain xmlns="http://schemas.openxmlformats.org/spreadsheetml/2006/main">
  <c r="C11" i="13" l="1"/>
  <c r="B4" i="12"/>
  <c r="A10" i="14" l="1"/>
  <c r="B10" i="14"/>
  <c r="C10" i="14"/>
  <c r="E10" i="14"/>
  <c r="E9" i="14"/>
  <c r="D9" i="14"/>
  <c r="C9" i="14"/>
  <c r="B9" i="14"/>
  <c r="A9" i="14"/>
  <c r="B5" i="7"/>
  <c r="I5" i="7" s="1"/>
  <c r="B4" i="7"/>
  <c r="I4" i="7" s="1"/>
  <c r="H4" i="8"/>
  <c r="B5" i="10"/>
  <c r="B4" i="10"/>
  <c r="G4" i="7" l="1"/>
  <c r="K5" i="7"/>
  <c r="E5" i="7"/>
  <c r="E4" i="7"/>
  <c r="B5" i="6"/>
  <c r="C5" i="6" s="1"/>
  <c r="B4" i="6"/>
  <c r="C4" i="6" s="1"/>
  <c r="I5" i="6" l="1"/>
  <c r="I4" i="6"/>
  <c r="M4" i="6"/>
  <c r="M5" i="6" l="1"/>
  <c r="F5" i="7" s="1"/>
  <c r="H5" i="7" s="1"/>
  <c r="M6" i="6"/>
  <c r="M7"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B12" i="1" l="1"/>
  <c r="B13" i="1" s="1"/>
  <c r="B6" i="1"/>
  <c r="B6" i="6" l="1"/>
  <c r="C6" i="6" s="1"/>
  <c r="A11" i="14"/>
  <c r="C11" i="14"/>
  <c r="E11" i="14"/>
  <c r="B6" i="10"/>
  <c r="B11" i="14"/>
  <c r="B6" i="7"/>
  <c r="I6" i="6"/>
  <c r="B17" i="10"/>
  <c r="D17" i="10" s="1"/>
  <c r="B14" i="1"/>
  <c r="B15" i="1" s="1"/>
  <c r="B16" i="1" s="1"/>
  <c r="B17" i="1" s="1"/>
  <c r="E26" i="14" s="1"/>
  <c r="G9" i="14"/>
  <c r="Q9" i="14" s="1"/>
  <c r="L6" i="1"/>
  <c r="D11" i="14" s="1"/>
  <c r="G10" i="14"/>
  <c r="B7" i="1"/>
  <c r="Q21" i="14"/>
  <c r="B16" i="10"/>
  <c r="B14" i="6"/>
  <c r="E22" i="14"/>
  <c r="A22" i="14"/>
  <c r="G22" i="14" s="1"/>
  <c r="Q22" i="14" s="1"/>
  <c r="B22" i="14"/>
  <c r="C22" i="14"/>
  <c r="B16" i="7"/>
  <c r="I16" i="7" s="1"/>
  <c r="Q20" i="14"/>
  <c r="L13" i="1"/>
  <c r="D22" i="14" s="1"/>
  <c r="B15" i="7"/>
  <c r="B15" i="10"/>
  <c r="L5" i="1"/>
  <c r="L12" i="1"/>
  <c r="B17" i="7"/>
  <c r="C8" i="13"/>
  <c r="G5" i="7" l="1"/>
  <c r="D10" i="14"/>
  <c r="J10" i="14" s="1"/>
  <c r="F6" i="7"/>
  <c r="H6" i="7" s="1"/>
  <c r="K6" i="7"/>
  <c r="E6" i="7"/>
  <c r="G6" i="7"/>
  <c r="I6" i="7"/>
  <c r="B12" i="14"/>
  <c r="B7" i="7"/>
  <c r="A12" i="14"/>
  <c r="C12" i="14"/>
  <c r="E12" i="14"/>
  <c r="B7" i="10"/>
  <c r="B7" i="6"/>
  <c r="C7" i="6" s="1"/>
  <c r="L14" i="1"/>
  <c r="D23" i="14" s="1"/>
  <c r="B25" i="14"/>
  <c r="B18" i="6"/>
  <c r="C18" i="6" s="1"/>
  <c r="B26" i="14"/>
  <c r="L17" i="1"/>
  <c r="D26" i="14" s="1"/>
  <c r="B18" i="10"/>
  <c r="D18" i="10" s="1"/>
  <c r="B15" i="6"/>
  <c r="C15" i="6" s="1"/>
  <c r="A24" i="14"/>
  <c r="G24" i="14" s="1"/>
  <c r="Q24" i="14" s="1"/>
  <c r="V24" i="14" s="1"/>
  <c r="W24" i="14" s="1"/>
  <c r="B19" i="10"/>
  <c r="D19" i="10" s="1"/>
  <c r="B16" i="6"/>
  <c r="C16" i="6" s="1"/>
  <c r="C24" i="14"/>
  <c r="L16" i="1"/>
  <c r="D25" i="14" s="1"/>
  <c r="B24" i="14"/>
  <c r="C23" i="14"/>
  <c r="B20" i="7"/>
  <c r="K20" i="7" s="1"/>
  <c r="E23" i="14"/>
  <c r="B18" i="7"/>
  <c r="G18" i="7" s="1"/>
  <c r="B19" i="7"/>
  <c r="K19" i="7" s="1"/>
  <c r="C26" i="14"/>
  <c r="C25" i="14"/>
  <c r="A23" i="14"/>
  <c r="G23" i="14" s="1"/>
  <c r="Q23" i="14" s="1"/>
  <c r="Y23" i="14" s="1"/>
  <c r="A26" i="14"/>
  <c r="G26" i="14" s="1"/>
  <c r="Q26" i="14" s="1"/>
  <c r="Y26" i="14" s="1"/>
  <c r="E25" i="14"/>
  <c r="D24" i="14"/>
  <c r="J9" i="14"/>
  <c r="L9" i="14"/>
  <c r="B21" i="7"/>
  <c r="E21" i="7" s="1"/>
  <c r="A25" i="14"/>
  <c r="G25" i="14" s="1"/>
  <c r="Q25" i="14" s="1"/>
  <c r="U25" i="14" s="1"/>
  <c r="AA25" i="14" s="1"/>
  <c r="E24" i="14"/>
  <c r="B23" i="14"/>
  <c r="B20" i="10"/>
  <c r="D20" i="10" s="1"/>
  <c r="D20" i="7" s="1"/>
  <c r="B17" i="6"/>
  <c r="C17" i="6" s="1"/>
  <c r="M10" i="14"/>
  <c r="O10" i="14" s="1"/>
  <c r="L15" i="1"/>
  <c r="C16" i="10"/>
  <c r="B21" i="10"/>
  <c r="B18" i="1"/>
  <c r="H9" i="14"/>
  <c r="D16" i="10"/>
  <c r="E16" i="10"/>
  <c r="N9" i="14"/>
  <c r="I9" i="14"/>
  <c r="L7" i="1"/>
  <c r="D12" i="14" s="1"/>
  <c r="G11" i="14"/>
  <c r="K9" i="14"/>
  <c r="L10" i="14"/>
  <c r="AH10" i="14" s="1"/>
  <c r="Q10" i="14"/>
  <c r="H10" i="14"/>
  <c r="I10" i="14"/>
  <c r="N10" i="14"/>
  <c r="K10" i="14"/>
  <c r="V22" i="14"/>
  <c r="W22" i="14" s="1"/>
  <c r="U22" i="14"/>
  <c r="AA22" i="14" s="1"/>
  <c r="Y22" i="14"/>
  <c r="X22" i="14"/>
  <c r="X21" i="14"/>
  <c r="V21" i="14"/>
  <c r="W21" i="14" s="1"/>
  <c r="U21" i="14"/>
  <c r="AA21" i="14" s="1"/>
  <c r="Y21" i="14"/>
  <c r="U20" i="14"/>
  <c r="AA20" i="14" s="1"/>
  <c r="V20" i="14"/>
  <c r="W20" i="14" s="1"/>
  <c r="X20" i="14"/>
  <c r="Y20" i="14"/>
  <c r="AH21" i="14"/>
  <c r="S21" i="14"/>
  <c r="R21" i="14"/>
  <c r="K22" i="14"/>
  <c r="H22" i="14"/>
  <c r="R22" i="14" s="1"/>
  <c r="I22" i="14"/>
  <c r="S22" i="14" s="1"/>
  <c r="J22" i="14"/>
  <c r="L22" i="14"/>
  <c r="AH22" i="14" s="1"/>
  <c r="N22" i="14"/>
  <c r="Y9" i="14"/>
  <c r="X9" i="14"/>
  <c r="U9" i="14"/>
  <c r="R20" i="14"/>
  <c r="S20" i="14"/>
  <c r="AH20" i="14"/>
  <c r="E16" i="7"/>
  <c r="D16" i="7"/>
  <c r="C16" i="7"/>
  <c r="G16" i="7"/>
  <c r="K16" i="7"/>
  <c r="F16" i="7"/>
  <c r="H16" i="7" s="1"/>
  <c r="I14" i="6"/>
  <c r="E17" i="10" s="1"/>
  <c r="C14" i="6"/>
  <c r="C17" i="10" s="1"/>
  <c r="E5" i="10"/>
  <c r="K17" i="7"/>
  <c r="I17" i="7"/>
  <c r="G17" i="7"/>
  <c r="M22" i="14" s="1"/>
  <c r="O22" i="14" s="1"/>
  <c r="E17" i="7"/>
  <c r="D17" i="7"/>
  <c r="I15" i="7"/>
  <c r="G15" i="7"/>
  <c r="K15" i="7"/>
  <c r="E15" i="7"/>
  <c r="D15" i="10"/>
  <c r="D15" i="7" s="1"/>
  <c r="C4" i="10"/>
  <c r="F15" i="7"/>
  <c r="H15" i="7" s="1"/>
  <c r="K4" i="7"/>
  <c r="D5" i="10"/>
  <c r="D5" i="7" s="1"/>
  <c r="D4" i="10"/>
  <c r="D4" i="7" s="1"/>
  <c r="E7" i="7" l="1"/>
  <c r="G7" i="7"/>
  <c r="I7" i="7"/>
  <c r="K7" i="7"/>
  <c r="R9" i="14"/>
  <c r="S9" i="14"/>
  <c r="AH9" i="14"/>
  <c r="I7" i="6"/>
  <c r="F7" i="7" s="1"/>
  <c r="H7" i="7" s="1"/>
  <c r="G12" i="14"/>
  <c r="H12" i="14" s="1"/>
  <c r="K18" i="7"/>
  <c r="D19" i="7"/>
  <c r="J26" i="14"/>
  <c r="J12" i="14"/>
  <c r="I17" i="6"/>
  <c r="U24" i="14"/>
  <c r="AA24" i="14" s="1"/>
  <c r="AB24" i="14" s="1"/>
  <c r="Y24" i="14"/>
  <c r="K24" i="14"/>
  <c r="L24" i="14"/>
  <c r="AH24" i="14" s="1"/>
  <c r="I23" i="14"/>
  <c r="S23" i="14" s="1"/>
  <c r="H24" i="14"/>
  <c r="R24" i="14" s="1"/>
  <c r="U23" i="14"/>
  <c r="AA23" i="14" s="1"/>
  <c r="AB23" i="14" s="1"/>
  <c r="N23" i="14"/>
  <c r="I26" i="14"/>
  <c r="S26" i="14" s="1"/>
  <c r="U26" i="14"/>
  <c r="AA26" i="14" s="1"/>
  <c r="AB26" i="14" s="1"/>
  <c r="I15" i="6"/>
  <c r="I20" i="7"/>
  <c r="E19" i="7"/>
  <c r="I18" i="6"/>
  <c r="J24" i="14"/>
  <c r="I24" i="14"/>
  <c r="S24" i="14" s="1"/>
  <c r="N24" i="14"/>
  <c r="X24" i="14"/>
  <c r="L23" i="14"/>
  <c r="AH23" i="14" s="1"/>
  <c r="C19" i="7"/>
  <c r="Y25" i="14"/>
  <c r="I19" i="7"/>
  <c r="J23" i="14"/>
  <c r="X26" i="14"/>
  <c r="M23" i="14"/>
  <c r="O23" i="14" s="1"/>
  <c r="H26" i="14"/>
  <c r="R26" i="14" s="1"/>
  <c r="J25" i="14"/>
  <c r="I16" i="6"/>
  <c r="E19" i="10" s="1"/>
  <c r="G19" i="7"/>
  <c r="M24" i="14" s="1"/>
  <c r="O24" i="14" s="1"/>
  <c r="L25" i="14"/>
  <c r="AH25" i="14" s="1"/>
  <c r="E18" i="7"/>
  <c r="I18" i="7"/>
  <c r="C18" i="7"/>
  <c r="D18" i="7"/>
  <c r="V26" i="14"/>
  <c r="W26" i="14" s="1"/>
  <c r="G20" i="7"/>
  <c r="L26" i="14"/>
  <c r="AH26" i="14" s="1"/>
  <c r="K23" i="14"/>
  <c r="X23" i="14"/>
  <c r="E20" i="7"/>
  <c r="N26" i="14"/>
  <c r="K21" i="7"/>
  <c r="K26" i="14"/>
  <c r="V23" i="14"/>
  <c r="W23" i="14" s="1"/>
  <c r="C21" i="7"/>
  <c r="H23" i="14"/>
  <c r="R23" i="14" s="1"/>
  <c r="G21" i="7"/>
  <c r="M26" i="14" s="1"/>
  <c r="O26" i="14" s="1"/>
  <c r="C20" i="10"/>
  <c r="AX25" i="14" s="1"/>
  <c r="E20" i="10"/>
  <c r="N25" i="14"/>
  <c r="V25" i="14"/>
  <c r="W25" i="14" s="1"/>
  <c r="I21" i="7"/>
  <c r="F21" i="7"/>
  <c r="H21" i="7" s="1"/>
  <c r="I25" i="14"/>
  <c r="S25" i="14" s="1"/>
  <c r="X25" i="14"/>
  <c r="K25" i="14"/>
  <c r="C6" i="7"/>
  <c r="H25" i="14"/>
  <c r="R25" i="14" s="1"/>
  <c r="M25" i="14"/>
  <c r="O25" i="14" s="1"/>
  <c r="C19" i="10"/>
  <c r="AX24" i="14" s="1"/>
  <c r="F19" i="7"/>
  <c r="H19" i="7" s="1"/>
  <c r="C20" i="7"/>
  <c r="C17" i="7"/>
  <c r="C18" i="10"/>
  <c r="AX23" i="14" s="1"/>
  <c r="F17" i="7"/>
  <c r="H17" i="7" s="1"/>
  <c r="C15" i="10"/>
  <c r="AX20" i="14" s="1"/>
  <c r="C15" i="7"/>
  <c r="E18" i="10"/>
  <c r="F18" i="7"/>
  <c r="H18" i="7" s="1"/>
  <c r="E15" i="10"/>
  <c r="AX22" i="14"/>
  <c r="F20" i="7"/>
  <c r="H20" i="7" s="1"/>
  <c r="AI25" i="14" s="1"/>
  <c r="AK25" i="14" s="1"/>
  <c r="E21" i="10"/>
  <c r="C21" i="10"/>
  <c r="D21" i="10"/>
  <c r="D21" i="7" s="1"/>
  <c r="AX21" i="14"/>
  <c r="B19" i="1"/>
  <c r="B22" i="7"/>
  <c r="B19" i="6"/>
  <c r="B22" i="10"/>
  <c r="C27" i="14"/>
  <c r="E27" i="14"/>
  <c r="A27" i="14"/>
  <c r="G27" i="14" s="1"/>
  <c r="L18" i="1"/>
  <c r="D27" i="14" s="1"/>
  <c r="B27" i="14"/>
  <c r="M11" i="14"/>
  <c r="O11" i="14" s="1"/>
  <c r="E6" i="10"/>
  <c r="D6" i="10"/>
  <c r="D6" i="7" s="1"/>
  <c r="M9" i="14"/>
  <c r="AX9" i="14"/>
  <c r="Q11" i="14"/>
  <c r="N11" i="14"/>
  <c r="L11" i="14"/>
  <c r="AH11" i="14" s="1"/>
  <c r="K11" i="14"/>
  <c r="J11" i="14"/>
  <c r="H11" i="14"/>
  <c r="I11" i="14"/>
  <c r="V9" i="14"/>
  <c r="W9" i="14" s="1"/>
  <c r="V10" i="14"/>
  <c r="W10" i="14" s="1"/>
  <c r="S10" i="14"/>
  <c r="U10" i="14"/>
  <c r="AA10" i="14" s="1"/>
  <c r="R10" i="14"/>
  <c r="Y10" i="14"/>
  <c r="X10" i="14"/>
  <c r="Q12" i="14"/>
  <c r="N12" i="14"/>
  <c r="C4" i="7"/>
  <c r="AB20" i="14"/>
  <c r="AO20" i="14"/>
  <c r="AF20" i="14"/>
  <c r="AI20" i="14"/>
  <c r="AG20" i="14"/>
  <c r="AD20" i="14"/>
  <c r="AE20" i="14" s="1"/>
  <c r="AC20" i="14"/>
  <c r="AJ20" i="14"/>
  <c r="AO21" i="14"/>
  <c r="AD21" i="14"/>
  <c r="AE21" i="14" s="1"/>
  <c r="AB21" i="14"/>
  <c r="AC21" i="14"/>
  <c r="AG21" i="14"/>
  <c r="AI21" i="14"/>
  <c r="AK21" i="14" s="1"/>
  <c r="AF21" i="14"/>
  <c r="AJ21" i="14"/>
  <c r="AO25" i="14"/>
  <c r="AC25" i="14"/>
  <c r="AG25" i="14"/>
  <c r="AD25" i="14"/>
  <c r="AE25" i="14" s="1"/>
  <c r="AJ25" i="14"/>
  <c r="AB25" i="14"/>
  <c r="AF25" i="14"/>
  <c r="AD22" i="14"/>
  <c r="AE22" i="14" s="1"/>
  <c r="AO22" i="14"/>
  <c r="AI22" i="14"/>
  <c r="AK22" i="14" s="1"/>
  <c r="AJ22" i="14"/>
  <c r="AB22" i="14"/>
  <c r="AG22" i="14"/>
  <c r="AC22" i="14"/>
  <c r="AF22" i="14"/>
  <c r="AA9" i="14"/>
  <c r="C5" i="7"/>
  <c r="C5" i="10"/>
  <c r="F4" i="7"/>
  <c r="H4" i="7" s="1"/>
  <c r="E4" i="10"/>
  <c r="D7" i="10"/>
  <c r="C3" i="13"/>
  <c r="E6" i="13" s="1"/>
  <c r="B6" i="12"/>
  <c r="B11" i="12" s="1"/>
  <c r="N53" i="6"/>
  <c r="N54" i="6"/>
  <c r="N55" i="6"/>
  <c r="N56" i="6"/>
  <c r="N57" i="6"/>
  <c r="N58" i="6"/>
  <c r="N59" i="6"/>
  <c r="N60" i="6"/>
  <c r="N31" i="6"/>
  <c r="N32" i="6"/>
  <c r="N33" i="6"/>
  <c r="N34" i="6"/>
  <c r="N35" i="6"/>
  <c r="N36" i="6"/>
  <c r="N37" i="6"/>
  <c r="N38" i="6"/>
  <c r="N39" i="6"/>
  <c r="N40" i="6"/>
  <c r="N41" i="6"/>
  <c r="N42" i="6"/>
  <c r="N43" i="6"/>
  <c r="N44" i="6"/>
  <c r="N45" i="6"/>
  <c r="N46" i="6"/>
  <c r="N47" i="6"/>
  <c r="N48" i="6"/>
  <c r="N49" i="6"/>
  <c r="N50" i="6"/>
  <c r="N51" i="6"/>
  <c r="N52" i="6"/>
  <c r="L12" i="14" l="1"/>
  <c r="AH12" i="14" s="1"/>
  <c r="B14" i="14"/>
  <c r="B9" i="7"/>
  <c r="A14" i="14"/>
  <c r="G14" i="14" s="1"/>
  <c r="C14" i="14"/>
  <c r="E14" i="14"/>
  <c r="O9" i="14"/>
  <c r="K12" i="14"/>
  <c r="I12" i="14"/>
  <c r="D14" i="14"/>
  <c r="AO24" i="14"/>
  <c r="AR24" i="14" s="1"/>
  <c r="AJ24" i="14"/>
  <c r="AD24" i="14"/>
  <c r="AE24" i="14" s="1"/>
  <c r="AC24" i="14"/>
  <c r="AI24" i="14"/>
  <c r="AF26" i="14"/>
  <c r="AJ26" i="14"/>
  <c r="AD26" i="14"/>
  <c r="AE26" i="14" s="1"/>
  <c r="AC23" i="14"/>
  <c r="AF24" i="14"/>
  <c r="AG24" i="14"/>
  <c r="AJ23" i="14"/>
  <c r="AG23" i="14"/>
  <c r="AF23" i="14"/>
  <c r="AI23" i="14"/>
  <c r="AD23" i="14"/>
  <c r="AE23" i="14" s="1"/>
  <c r="AO23" i="14"/>
  <c r="AP23" i="14" s="1"/>
  <c r="C6" i="10"/>
  <c r="AX11" i="14" s="1"/>
  <c r="M12" i="14"/>
  <c r="O12" i="14" s="1"/>
  <c r="C7" i="7"/>
  <c r="AI26" i="14"/>
  <c r="AO26" i="14"/>
  <c r="AR26" i="14" s="1"/>
  <c r="AC26" i="14"/>
  <c r="AG26" i="14"/>
  <c r="D7" i="7"/>
  <c r="AK24" i="14"/>
  <c r="AK26" i="14"/>
  <c r="AK23" i="14"/>
  <c r="AK20" i="14"/>
  <c r="D22" i="10"/>
  <c r="D22" i="7" s="1"/>
  <c r="I19" i="6"/>
  <c r="E22" i="10" s="1"/>
  <c r="C19" i="6"/>
  <c r="C22" i="7" s="1"/>
  <c r="AX26" i="14"/>
  <c r="B20" i="1"/>
  <c r="E28" i="14"/>
  <c r="B23" i="7"/>
  <c r="L19" i="1"/>
  <c r="D28" i="14" s="1"/>
  <c r="A28" i="14"/>
  <c r="G28" i="14" s="1"/>
  <c r="B20" i="6"/>
  <c r="B28" i="14"/>
  <c r="B23" i="10"/>
  <c r="C28" i="14"/>
  <c r="Q27" i="14"/>
  <c r="I27" i="14"/>
  <c r="J27" i="14"/>
  <c r="N27" i="14"/>
  <c r="H27" i="14"/>
  <c r="L27" i="14"/>
  <c r="AH27" i="14" s="1"/>
  <c r="K27" i="14"/>
  <c r="E22" i="7"/>
  <c r="K22" i="7"/>
  <c r="G22" i="7"/>
  <c r="M27" i="14" s="1"/>
  <c r="O27" i="14" s="1"/>
  <c r="I22" i="7"/>
  <c r="C7" i="10"/>
  <c r="AX12" i="14" s="1"/>
  <c r="S11" i="14"/>
  <c r="R11" i="14"/>
  <c r="U12" i="14"/>
  <c r="AA12" i="14" s="1"/>
  <c r="V12" i="14"/>
  <c r="W12" i="14" s="1"/>
  <c r="Y12" i="14"/>
  <c r="X12" i="14"/>
  <c r="S12" i="14"/>
  <c r="U11" i="14"/>
  <c r="AA11" i="14" s="1"/>
  <c r="V11" i="14"/>
  <c r="X11" i="14"/>
  <c r="Y11" i="14"/>
  <c r="AF10" i="14"/>
  <c r="AJ10" i="14"/>
  <c r="AB10" i="14"/>
  <c r="AG10" i="14"/>
  <c r="AO10" i="14"/>
  <c r="AI10" i="14"/>
  <c r="AD10" i="14"/>
  <c r="AE10" i="14" s="1"/>
  <c r="AC10" i="14"/>
  <c r="R12" i="14"/>
  <c r="AX10" i="14"/>
  <c r="AP22" i="14"/>
  <c r="AQ22" i="14"/>
  <c r="AR22" i="14"/>
  <c r="AQ20" i="14"/>
  <c r="AR20" i="14"/>
  <c r="AP20" i="14"/>
  <c r="AP25" i="14"/>
  <c r="AQ25" i="14"/>
  <c r="AR25" i="14"/>
  <c r="AO9" i="14"/>
  <c r="AI9" i="14"/>
  <c r="AB9" i="14"/>
  <c r="AF9" i="14"/>
  <c r="AJ9" i="14"/>
  <c r="AC9" i="14"/>
  <c r="AG9" i="14"/>
  <c r="AD9" i="14"/>
  <c r="AE9" i="14" s="1"/>
  <c r="AR21" i="14"/>
  <c r="AP21" i="14"/>
  <c r="AQ21" i="14"/>
  <c r="H5" i="12"/>
  <c r="A15" i="14" l="1"/>
  <c r="C15" i="14"/>
  <c r="E15" i="14"/>
  <c r="B15" i="14"/>
  <c r="B10" i="7"/>
  <c r="E9" i="7"/>
  <c r="G9" i="7"/>
  <c r="I9" i="7"/>
  <c r="K9" i="7"/>
  <c r="F9" i="7"/>
  <c r="H9" i="7" s="1"/>
  <c r="AQ24" i="14"/>
  <c r="G15" i="14"/>
  <c r="L15" i="14" s="1"/>
  <c r="AH15" i="14" s="1"/>
  <c r="AP24" i="14"/>
  <c r="AR23" i="14"/>
  <c r="AQ23" i="14"/>
  <c r="AP26" i="14"/>
  <c r="AQ26" i="14"/>
  <c r="E7" i="10"/>
  <c r="AI12" i="14"/>
  <c r="F22" i="7"/>
  <c r="H22" i="7" s="1"/>
  <c r="C20" i="6"/>
  <c r="C23" i="10" s="1"/>
  <c r="I20" i="6"/>
  <c r="Q28" i="14"/>
  <c r="L28" i="14"/>
  <c r="AH28" i="14" s="1"/>
  <c r="J28" i="14"/>
  <c r="K28" i="14"/>
  <c r="N28" i="14"/>
  <c r="I28" i="14"/>
  <c r="H28" i="14"/>
  <c r="X27" i="14"/>
  <c r="Y27" i="14"/>
  <c r="S27" i="14"/>
  <c r="U27" i="14"/>
  <c r="AA27" i="14" s="1"/>
  <c r="R27" i="14"/>
  <c r="V27" i="14"/>
  <c r="W27" i="14" s="1"/>
  <c r="B21" i="1"/>
  <c r="B29" i="14"/>
  <c r="C29" i="14"/>
  <c r="B24" i="7"/>
  <c r="L20" i="1"/>
  <c r="D29" i="14" s="1"/>
  <c r="E29" i="14"/>
  <c r="B21" i="6"/>
  <c r="A29" i="14"/>
  <c r="G29" i="14" s="1"/>
  <c r="B24" i="10"/>
  <c r="C22" i="10"/>
  <c r="F23" i="7"/>
  <c r="H23" i="7" s="1"/>
  <c r="I23" i="7"/>
  <c r="K23" i="7"/>
  <c r="E23" i="7"/>
  <c r="G23" i="7"/>
  <c r="M28" i="14" s="1"/>
  <c r="O28" i="14" s="1"/>
  <c r="E23" i="10"/>
  <c r="D23" i="10"/>
  <c r="D23" i="7" s="1"/>
  <c r="AK10" i="14"/>
  <c r="D10" i="7"/>
  <c r="AO11" i="14"/>
  <c r="AB11" i="14"/>
  <c r="AJ11" i="14"/>
  <c r="AD11" i="14"/>
  <c r="AE11" i="14" s="1"/>
  <c r="AI11" i="14"/>
  <c r="AG11" i="14"/>
  <c r="AF11" i="14"/>
  <c r="K14" i="14"/>
  <c r="N14" i="14"/>
  <c r="H14" i="14"/>
  <c r="Q14" i="14"/>
  <c r="I14" i="14"/>
  <c r="J14" i="14"/>
  <c r="L14" i="14"/>
  <c r="AH14" i="14" s="1"/>
  <c r="AQ10" i="14"/>
  <c r="AP10" i="14"/>
  <c r="AR10" i="14"/>
  <c r="W11" i="14"/>
  <c r="AB12" i="14"/>
  <c r="AG12" i="14"/>
  <c r="AC12" i="14"/>
  <c r="AD12" i="14"/>
  <c r="AE12" i="14" s="1"/>
  <c r="AJ12" i="14"/>
  <c r="AO12" i="14"/>
  <c r="AF12" i="14"/>
  <c r="AK9" i="14"/>
  <c r="AP9" i="14"/>
  <c r="AR9" i="14"/>
  <c r="AQ9" i="14"/>
  <c r="D9" i="7"/>
  <c r="M14" i="14"/>
  <c r="E7" i="13"/>
  <c r="N44" i="13"/>
  <c r="N43" i="13"/>
  <c r="N42" i="13"/>
  <c r="N41" i="13"/>
  <c r="N40" i="13"/>
  <c r="N39" i="13"/>
  <c r="N38" i="13"/>
  <c r="N37" i="13"/>
  <c r="N36" i="13"/>
  <c r="N35" i="13"/>
  <c r="N34" i="13"/>
  <c r="N33" i="13"/>
  <c r="N32" i="13"/>
  <c r="N21" i="13"/>
  <c r="I6" i="13"/>
  <c r="I15" i="14" l="1"/>
  <c r="N15" i="14"/>
  <c r="C10" i="7"/>
  <c r="A16" i="14"/>
  <c r="G16" i="14" s="1"/>
  <c r="C16" i="14"/>
  <c r="E16" i="14"/>
  <c r="B11" i="7"/>
  <c r="B16" i="14"/>
  <c r="D11" i="7"/>
  <c r="F10" i="7"/>
  <c r="H10" i="7" s="1"/>
  <c r="K10" i="7"/>
  <c r="E10" i="7"/>
  <c r="I10" i="7"/>
  <c r="K15" i="14"/>
  <c r="Q15" i="14"/>
  <c r="X15" i="14" s="1"/>
  <c r="H15" i="14"/>
  <c r="C23" i="7"/>
  <c r="K24" i="7"/>
  <c r="G24" i="7"/>
  <c r="M29" i="14" s="1"/>
  <c r="O29" i="14" s="1"/>
  <c r="I24" i="7"/>
  <c r="E24" i="7"/>
  <c r="AX27" i="14"/>
  <c r="D24" i="10"/>
  <c r="D24" i="7" s="1"/>
  <c r="Q29" i="14"/>
  <c r="N29" i="14"/>
  <c r="H29" i="14"/>
  <c r="J29" i="14"/>
  <c r="K29" i="14"/>
  <c r="L29" i="14"/>
  <c r="AH29" i="14" s="1"/>
  <c r="I29" i="14"/>
  <c r="C21" i="6"/>
  <c r="C24" i="10" s="1"/>
  <c r="I21" i="6"/>
  <c r="S28" i="14"/>
  <c r="Y28" i="14"/>
  <c r="X28" i="14"/>
  <c r="V28" i="14"/>
  <c r="W28" i="14" s="1"/>
  <c r="U28" i="14"/>
  <c r="AA28" i="14" s="1"/>
  <c r="R28" i="14"/>
  <c r="B22" i="1"/>
  <c r="B30" i="14"/>
  <c r="C30" i="14"/>
  <c r="B22" i="6"/>
  <c r="E30" i="14"/>
  <c r="B25" i="7"/>
  <c r="A30" i="14"/>
  <c r="G30" i="14" s="1"/>
  <c r="B25" i="10"/>
  <c r="L21" i="1"/>
  <c r="D30" i="14" s="1"/>
  <c r="AX28" i="14"/>
  <c r="AF27" i="14"/>
  <c r="AC27" i="14"/>
  <c r="AI27" i="14"/>
  <c r="AO27" i="14"/>
  <c r="AJ27" i="14"/>
  <c r="AB27" i="14"/>
  <c r="AD27" i="14"/>
  <c r="AE27" i="14" s="1"/>
  <c r="AG27" i="14"/>
  <c r="AX15" i="14"/>
  <c r="U15" i="14"/>
  <c r="AA15" i="14" s="1"/>
  <c r="S15" i="14"/>
  <c r="AK11" i="14"/>
  <c r="AK12" i="14"/>
  <c r="O14" i="14"/>
  <c r="AP11" i="14"/>
  <c r="AR11" i="14"/>
  <c r="R14" i="14"/>
  <c r="S14" i="14"/>
  <c r="X14" i="14"/>
  <c r="Y14" i="14"/>
  <c r="V14" i="14"/>
  <c r="W14" i="14" s="1"/>
  <c r="U14" i="14"/>
  <c r="AA14" i="14" s="1"/>
  <c r="AX14" i="14"/>
  <c r="AR12" i="14"/>
  <c r="AQ12" i="14"/>
  <c r="AP12" i="14"/>
  <c r="AC11" i="14"/>
  <c r="AQ11" i="14" s="1"/>
  <c r="C9" i="7"/>
  <c r="E8" i="13"/>
  <c r="G6" i="12"/>
  <c r="H6" i="12" s="1"/>
  <c r="B12" i="12"/>
  <c r="V15" i="14" l="1"/>
  <c r="W15" i="14" s="1"/>
  <c r="R15" i="14"/>
  <c r="E11" i="7"/>
  <c r="I11" i="7"/>
  <c r="F11" i="7"/>
  <c r="H11" i="7" s="1"/>
  <c r="K11" i="7"/>
  <c r="C11" i="7"/>
  <c r="Q16" i="14"/>
  <c r="N16" i="14"/>
  <c r="I16" i="14"/>
  <c r="L16" i="14"/>
  <c r="H16" i="14"/>
  <c r="K16" i="14"/>
  <c r="AK27" i="14"/>
  <c r="AX29" i="14"/>
  <c r="E24" i="10"/>
  <c r="C24" i="7"/>
  <c r="AQ27" i="14"/>
  <c r="AP27" i="14"/>
  <c r="AR27" i="14"/>
  <c r="D25" i="10"/>
  <c r="D25" i="7" s="1"/>
  <c r="B23" i="1"/>
  <c r="B26" i="10"/>
  <c r="L22" i="1"/>
  <c r="D31" i="14" s="1"/>
  <c r="A31" i="14"/>
  <c r="G31" i="14" s="1"/>
  <c r="E31" i="14"/>
  <c r="B31" i="14"/>
  <c r="B26" i="7"/>
  <c r="C31" i="14"/>
  <c r="B23" i="6"/>
  <c r="F24" i="7"/>
  <c r="H24" i="7" s="1"/>
  <c r="E25" i="7"/>
  <c r="K25" i="7"/>
  <c r="I25" i="7"/>
  <c r="G25" i="7"/>
  <c r="AJ28" i="14"/>
  <c r="AB28" i="14"/>
  <c r="AC28" i="14"/>
  <c r="AO28" i="14"/>
  <c r="AF28" i="14"/>
  <c r="AG28" i="14"/>
  <c r="AI28" i="14"/>
  <c r="AD28" i="14"/>
  <c r="AE28" i="14" s="1"/>
  <c r="Y29" i="14"/>
  <c r="V29" i="14"/>
  <c r="W29" i="14" s="1"/>
  <c r="R29" i="14"/>
  <c r="U29" i="14"/>
  <c r="AA29" i="14" s="1"/>
  <c r="S29" i="14"/>
  <c r="X29" i="14"/>
  <c r="Q30" i="14"/>
  <c r="L30" i="14"/>
  <c r="AH30" i="14" s="1"/>
  <c r="I30" i="14"/>
  <c r="K30" i="14"/>
  <c r="H30" i="14"/>
  <c r="N30" i="14"/>
  <c r="J30" i="14"/>
  <c r="I22" i="6"/>
  <c r="E25" i="10" s="1"/>
  <c r="C22" i="6"/>
  <c r="C25" i="10" s="1"/>
  <c r="AC15" i="14"/>
  <c r="AB15" i="14"/>
  <c r="AI15" i="14"/>
  <c r="AJ15" i="14"/>
  <c r="AG15" i="14"/>
  <c r="AO15" i="14"/>
  <c r="AD15" i="14"/>
  <c r="AE15" i="14" s="1"/>
  <c r="AI14" i="14"/>
  <c r="AO14" i="14"/>
  <c r="AB14" i="14"/>
  <c r="AJ14" i="14"/>
  <c r="AD14" i="14"/>
  <c r="AE14" i="14" s="1"/>
  <c r="AG14" i="14"/>
  <c r="AF14" i="14"/>
  <c r="AC14" i="14"/>
  <c r="G7" i="12"/>
  <c r="G8" i="12" s="1"/>
  <c r="G9" i="12" s="1"/>
  <c r="G10" i="12" s="1"/>
  <c r="G11" i="12" s="1"/>
  <c r="G12" i="12" s="1"/>
  <c r="G13" i="12" s="1"/>
  <c r="G14" i="12" s="1"/>
  <c r="H7" i="12"/>
  <c r="H8" i="12" s="1"/>
  <c r="H9" i="12" s="1"/>
  <c r="H10" i="12" s="1"/>
  <c r="H11" i="12" s="1"/>
  <c r="H12" i="12" s="1"/>
  <c r="E9" i="13"/>
  <c r="AH16" i="14" l="1"/>
  <c r="R16" i="14"/>
  <c r="U16" i="14"/>
  <c r="AA16" i="14" s="1"/>
  <c r="V16" i="14"/>
  <c r="W16" i="14" s="1"/>
  <c r="X16" i="14"/>
  <c r="S16" i="14"/>
  <c r="AH17" i="14"/>
  <c r="Q17" i="14"/>
  <c r="AX16" i="14"/>
  <c r="AX17" i="14"/>
  <c r="AK28" i="14"/>
  <c r="C25" i="7"/>
  <c r="AX30" i="14"/>
  <c r="Q31" i="14"/>
  <c r="N31" i="14"/>
  <c r="I31" i="14"/>
  <c r="H31" i="14"/>
  <c r="L31" i="14"/>
  <c r="AH31" i="14" s="1"/>
  <c r="J31" i="14"/>
  <c r="K31" i="14"/>
  <c r="AB29" i="14"/>
  <c r="AG29" i="14"/>
  <c r="AF29" i="14"/>
  <c r="AJ29" i="14"/>
  <c r="AD29" i="14"/>
  <c r="AE29" i="14" s="1"/>
  <c r="AI29" i="14"/>
  <c r="AK29" i="14" s="1"/>
  <c r="AO29" i="14"/>
  <c r="AC29" i="14"/>
  <c r="M30" i="14"/>
  <c r="AQ28" i="14"/>
  <c r="AP28" i="14"/>
  <c r="AR28" i="14"/>
  <c r="I23" i="6"/>
  <c r="F26" i="7" s="1"/>
  <c r="H26" i="7" s="1"/>
  <c r="C23" i="6"/>
  <c r="C26" i="7" s="1"/>
  <c r="F25" i="7"/>
  <c r="H25" i="7" s="1"/>
  <c r="B24" i="1"/>
  <c r="A32" i="14"/>
  <c r="G32" i="14" s="1"/>
  <c r="B27" i="7"/>
  <c r="E32" i="14"/>
  <c r="L23" i="1"/>
  <c r="D32" i="14" s="1"/>
  <c r="B27" i="10"/>
  <c r="B32" i="14"/>
  <c r="C32" i="14"/>
  <c r="B24" i="6"/>
  <c r="S30" i="14"/>
  <c r="X30" i="14"/>
  <c r="V30" i="14"/>
  <c r="W30" i="14" s="1"/>
  <c r="U30" i="14"/>
  <c r="AA30" i="14" s="1"/>
  <c r="R30" i="14"/>
  <c r="Y30" i="14"/>
  <c r="K26" i="7"/>
  <c r="I26" i="7"/>
  <c r="E26" i="7"/>
  <c r="G26" i="7"/>
  <c r="M31" i="14" s="1"/>
  <c r="O31" i="14" s="1"/>
  <c r="D26" i="10"/>
  <c r="D26" i="7" s="1"/>
  <c r="AK15" i="14"/>
  <c r="AP15" i="14"/>
  <c r="AR15" i="14"/>
  <c r="AQ15" i="14"/>
  <c r="H13" i="12"/>
  <c r="H14" i="12" s="1"/>
  <c r="AK14" i="14"/>
  <c r="AP14" i="14"/>
  <c r="AQ14" i="14"/>
  <c r="AR14" i="14"/>
  <c r="G15" i="12"/>
  <c r="E10" i="13"/>
  <c r="G5" i="10"/>
  <c r="L5" i="7" s="1"/>
  <c r="G6" i="10"/>
  <c r="L6" i="7" s="1"/>
  <c r="G7" i="10"/>
  <c r="L7" i="7" s="1"/>
  <c r="L9" i="7"/>
  <c r="G21" i="10"/>
  <c r="G22" i="10"/>
  <c r="G23" i="10"/>
  <c r="G24" i="10"/>
  <c r="G4" i="10"/>
  <c r="J11" i="7"/>
  <c r="AT20" i="14"/>
  <c r="AT21" i="14"/>
  <c r="N14" i="6"/>
  <c r="AT22" i="14" s="1"/>
  <c r="N15" i="6"/>
  <c r="AT23" i="14" s="1"/>
  <c r="N16" i="6"/>
  <c r="AT24" i="14" s="1"/>
  <c r="N17" i="6"/>
  <c r="AT25" i="14" s="1"/>
  <c r="N18" i="6"/>
  <c r="AT26" i="14" s="1"/>
  <c r="N19" i="6"/>
  <c r="AT27" i="14" s="1"/>
  <c r="N20" i="6"/>
  <c r="AT28" i="14" s="1"/>
  <c r="N21" i="6"/>
  <c r="N22" i="6"/>
  <c r="N23" i="6"/>
  <c r="N24" i="6"/>
  <c r="N25" i="6"/>
  <c r="N26" i="6"/>
  <c r="N27" i="6"/>
  <c r="N28" i="6"/>
  <c r="N29" i="6"/>
  <c r="N30" i="6"/>
  <c r="AT9" i="14"/>
  <c r="AW15" i="14" l="1"/>
  <c r="L10" i="7"/>
  <c r="AW16" i="14"/>
  <c r="L11" i="7"/>
  <c r="D15" i="14"/>
  <c r="G10" i="7"/>
  <c r="M15" i="14" s="1"/>
  <c r="AT15" i="14"/>
  <c r="AT14" i="14"/>
  <c r="AT12" i="14"/>
  <c r="AT11" i="14"/>
  <c r="AT10" i="14"/>
  <c r="R17" i="14"/>
  <c r="X17" i="14"/>
  <c r="S17" i="14"/>
  <c r="Y17" i="14"/>
  <c r="V17" i="14"/>
  <c r="W17" i="14" s="1"/>
  <c r="U17" i="14"/>
  <c r="AA17" i="14" s="1"/>
  <c r="AH18" i="14"/>
  <c r="Q18" i="14"/>
  <c r="AX18" i="14"/>
  <c r="AB16" i="14"/>
  <c r="AJ16" i="14"/>
  <c r="AG16" i="14"/>
  <c r="AD16" i="14"/>
  <c r="AE16" i="14" s="1"/>
  <c r="AI16" i="14"/>
  <c r="AK16" i="14" s="1"/>
  <c r="AO16" i="14"/>
  <c r="AT16" i="14" s="1"/>
  <c r="AC16" i="14"/>
  <c r="C26" i="10"/>
  <c r="AX31" i="14" s="1"/>
  <c r="E26" i="10"/>
  <c r="AR29" i="14"/>
  <c r="AP29" i="14"/>
  <c r="AT29" i="14"/>
  <c r="AQ29" i="14"/>
  <c r="K27" i="7"/>
  <c r="E27" i="7"/>
  <c r="G27" i="7"/>
  <c r="I27" i="7"/>
  <c r="L23" i="7"/>
  <c r="AW28" i="14"/>
  <c r="B25" i="1"/>
  <c r="B25" i="6"/>
  <c r="B28" i="10"/>
  <c r="A33" i="14"/>
  <c r="G33" i="14" s="1"/>
  <c r="B33" i="14"/>
  <c r="L24" i="1"/>
  <c r="D33" i="14" s="1"/>
  <c r="B28" i="7"/>
  <c r="E33" i="14"/>
  <c r="C33" i="14"/>
  <c r="L22" i="7"/>
  <c r="AW27" i="14"/>
  <c r="S31" i="14"/>
  <c r="R31" i="14"/>
  <c r="X31" i="14"/>
  <c r="U31" i="14"/>
  <c r="AA31" i="14" s="1"/>
  <c r="V31" i="14"/>
  <c r="W31" i="14" s="1"/>
  <c r="Y31" i="14"/>
  <c r="L24" i="7"/>
  <c r="AW29" i="14"/>
  <c r="I24" i="6"/>
  <c r="C24" i="6"/>
  <c r="C27" i="7" s="1"/>
  <c r="L21" i="7"/>
  <c r="AW26" i="14"/>
  <c r="O30" i="14"/>
  <c r="Q32" i="14"/>
  <c r="L32" i="14"/>
  <c r="AH32" i="14" s="1"/>
  <c r="H32" i="14"/>
  <c r="I32" i="14"/>
  <c r="M32" i="14"/>
  <c r="O32" i="14" s="1"/>
  <c r="N32" i="14"/>
  <c r="J32" i="14"/>
  <c r="K32" i="14"/>
  <c r="AD30" i="14"/>
  <c r="AE30" i="14" s="1"/>
  <c r="AF30" i="14"/>
  <c r="AO30" i="14"/>
  <c r="AJ30" i="14"/>
  <c r="AI30" i="14"/>
  <c r="AK30" i="14" s="1"/>
  <c r="AG30" i="14"/>
  <c r="AB30" i="14"/>
  <c r="AC30" i="14"/>
  <c r="D27" i="10"/>
  <c r="D27" i="7" s="1"/>
  <c r="C27" i="10"/>
  <c r="L4" i="7"/>
  <c r="AW9" i="14"/>
  <c r="AW14" i="14"/>
  <c r="AW12" i="14"/>
  <c r="AW11" i="14"/>
  <c r="AW10" i="14"/>
  <c r="G16" i="12"/>
  <c r="H15" i="12"/>
  <c r="E11" i="13"/>
  <c r="G18" i="10"/>
  <c r="G25" i="10"/>
  <c r="G17" i="10"/>
  <c r="G16" i="10"/>
  <c r="G20" i="10"/>
  <c r="AW17" i="14"/>
  <c r="G19" i="10"/>
  <c r="G15" i="10"/>
  <c r="I38" i="2"/>
  <c r="D16" i="14" l="1"/>
  <c r="G11" i="7"/>
  <c r="M16" i="14" s="1"/>
  <c r="O16" i="14" s="1"/>
  <c r="J15" i="14"/>
  <c r="Y15" i="14"/>
  <c r="AF15" i="14"/>
  <c r="O15" i="14"/>
  <c r="AU16" i="14"/>
  <c r="AX19" i="14"/>
  <c r="AJ17" i="14"/>
  <c r="AD17" i="14"/>
  <c r="AE17" i="14" s="1"/>
  <c r="AI17" i="14"/>
  <c r="AK17" i="14" s="1"/>
  <c r="AO17" i="14"/>
  <c r="AG17" i="14"/>
  <c r="AC17" i="14"/>
  <c r="AF17" i="14"/>
  <c r="AB17" i="14"/>
  <c r="U18" i="14"/>
  <c r="AA18" i="14" s="1"/>
  <c r="Y18" i="14"/>
  <c r="X18" i="14"/>
  <c r="S18" i="14"/>
  <c r="V18" i="14"/>
  <c r="W18" i="14" s="1"/>
  <c r="R18" i="14"/>
  <c r="Q19" i="14"/>
  <c r="AH19" i="14"/>
  <c r="AR16" i="14"/>
  <c r="AQ16" i="14"/>
  <c r="AS16" i="14"/>
  <c r="AP16" i="14"/>
  <c r="G26" i="10"/>
  <c r="L26" i="7" s="1"/>
  <c r="AZ31" i="14" s="1"/>
  <c r="AW31" i="14"/>
  <c r="E28" i="7"/>
  <c r="I28" i="7"/>
  <c r="K28" i="7"/>
  <c r="G28" i="7"/>
  <c r="AY28" i="14"/>
  <c r="AZ28" i="14"/>
  <c r="L20" i="7"/>
  <c r="AW25" i="14"/>
  <c r="L25" i="7"/>
  <c r="AW30" i="14"/>
  <c r="E27" i="10"/>
  <c r="AY31" i="14"/>
  <c r="AZ29" i="14"/>
  <c r="AY29" i="14"/>
  <c r="L17" i="7"/>
  <c r="AW22" i="14"/>
  <c r="F27" i="7"/>
  <c r="H27" i="7" s="1"/>
  <c r="AZ27" i="14"/>
  <c r="AY27" i="14"/>
  <c r="L18" i="7"/>
  <c r="AW23" i="14"/>
  <c r="D28" i="10"/>
  <c r="D28" i="7" s="1"/>
  <c r="AX32" i="14"/>
  <c r="G27" i="10"/>
  <c r="L27" i="7" s="1"/>
  <c r="AZ32" i="14" s="1"/>
  <c r="U32" i="14"/>
  <c r="AA32" i="14" s="1"/>
  <c r="V32" i="14"/>
  <c r="W32" i="14" s="1"/>
  <c r="Y32" i="14"/>
  <c r="S32" i="14"/>
  <c r="X32" i="14"/>
  <c r="R32" i="14"/>
  <c r="AZ26" i="14"/>
  <c r="AY26" i="14"/>
  <c r="AD31" i="14"/>
  <c r="AE31" i="14" s="1"/>
  <c r="AJ31" i="14"/>
  <c r="AB31" i="14"/>
  <c r="AO31" i="14"/>
  <c r="AC31" i="14"/>
  <c r="AG31" i="14"/>
  <c r="AF31" i="14"/>
  <c r="AI31" i="14"/>
  <c r="I25" i="6"/>
  <c r="F28" i="7" s="1"/>
  <c r="H28" i="7" s="1"/>
  <c r="C25" i="6"/>
  <c r="C28" i="10" s="1"/>
  <c r="L19" i="7"/>
  <c r="AW24" i="14"/>
  <c r="AT30" i="14"/>
  <c r="AR30" i="14"/>
  <c r="AQ30" i="14"/>
  <c r="AP30" i="14"/>
  <c r="Q33" i="14"/>
  <c r="N33" i="14"/>
  <c r="J33" i="14"/>
  <c r="I33" i="14"/>
  <c r="L33" i="14"/>
  <c r="AH33" i="14" s="1"/>
  <c r="K33" i="14"/>
  <c r="M33" i="14"/>
  <c r="O33" i="14" s="1"/>
  <c r="H33" i="14"/>
  <c r="L15" i="7"/>
  <c r="AW20" i="14"/>
  <c r="L16" i="7"/>
  <c r="AW21" i="14"/>
  <c r="B26" i="1"/>
  <c r="E34" i="14"/>
  <c r="B29" i="7"/>
  <c r="B26" i="6"/>
  <c r="A34" i="14"/>
  <c r="G34" i="14" s="1"/>
  <c r="B34" i="14"/>
  <c r="L25" i="1"/>
  <c r="D34" i="14" s="1"/>
  <c r="C34" i="14"/>
  <c r="B29" i="10"/>
  <c r="AW18" i="14"/>
  <c r="AZ16" i="14"/>
  <c r="AY16" i="14"/>
  <c r="AZ15" i="14"/>
  <c r="AY15" i="14"/>
  <c r="AY11" i="14"/>
  <c r="AZ11" i="14"/>
  <c r="AY12" i="14"/>
  <c r="AZ12" i="14"/>
  <c r="AZ14" i="14"/>
  <c r="AY14" i="14"/>
  <c r="AZ10" i="14"/>
  <c r="AY10" i="14"/>
  <c r="AZ9" i="14"/>
  <c r="AY9" i="14"/>
  <c r="G17" i="12"/>
  <c r="H16" i="12"/>
  <c r="E12" i="13"/>
  <c r="J16" i="14" l="1"/>
  <c r="Y16" i="14"/>
  <c r="AF16" i="14"/>
  <c r="AO18" i="14"/>
  <c r="AD18" i="14"/>
  <c r="AE18" i="14" s="1"/>
  <c r="AI18" i="14"/>
  <c r="AC18" i="14"/>
  <c r="AJ18" i="14"/>
  <c r="AF18" i="14"/>
  <c r="AB18" i="14"/>
  <c r="AG18" i="14"/>
  <c r="V19" i="14"/>
  <c r="W19" i="14" s="1"/>
  <c r="X19" i="14"/>
  <c r="R19" i="14"/>
  <c r="S19" i="14"/>
  <c r="Y19" i="14"/>
  <c r="U19" i="14"/>
  <c r="AA19" i="14" s="1"/>
  <c r="AP17" i="14"/>
  <c r="AQ17" i="14"/>
  <c r="AR17" i="14"/>
  <c r="AT17" i="14"/>
  <c r="AW19" i="14"/>
  <c r="AK31" i="14"/>
  <c r="AY32" i="14"/>
  <c r="AX33" i="14"/>
  <c r="G28" i="10"/>
  <c r="L28" i="7" s="1"/>
  <c r="AY33" i="14" s="1"/>
  <c r="D29" i="10"/>
  <c r="D29" i="7" s="1"/>
  <c r="B27" i="6"/>
  <c r="B27" i="1"/>
  <c r="L26" i="1"/>
  <c r="D35" i="14" s="1"/>
  <c r="A35" i="14"/>
  <c r="G35" i="14" s="1"/>
  <c r="C35" i="14"/>
  <c r="E35" i="14"/>
  <c r="B30" i="7"/>
  <c r="B30" i="10"/>
  <c r="B35" i="14"/>
  <c r="AW32" i="14"/>
  <c r="AZ30" i="14"/>
  <c r="AY30" i="14"/>
  <c r="AZ21" i="14"/>
  <c r="AY21" i="14"/>
  <c r="AF32" i="14"/>
  <c r="AB32" i="14"/>
  <c r="AG32" i="14"/>
  <c r="AD32" i="14"/>
  <c r="AE32" i="14" s="1"/>
  <c r="AI32" i="14"/>
  <c r="AC32" i="14"/>
  <c r="AO32" i="14"/>
  <c r="AJ32" i="14"/>
  <c r="Q34" i="14"/>
  <c r="J34" i="14"/>
  <c r="N34" i="14"/>
  <c r="K34" i="14"/>
  <c r="H34" i="14"/>
  <c r="L34" i="14"/>
  <c r="AH34" i="14" s="1"/>
  <c r="I34" i="14"/>
  <c r="E28" i="10"/>
  <c r="AZ22" i="14"/>
  <c r="AY22" i="14"/>
  <c r="AY25" i="14"/>
  <c r="AZ25" i="14"/>
  <c r="C28" i="7"/>
  <c r="AZ24" i="14"/>
  <c r="AY24" i="14"/>
  <c r="AZ23" i="14"/>
  <c r="AY23" i="14"/>
  <c r="C26" i="6"/>
  <c r="C29" i="10" s="1"/>
  <c r="I26" i="6"/>
  <c r="E29" i="10" s="1"/>
  <c r="AY20" i="14"/>
  <c r="AZ20" i="14"/>
  <c r="G29" i="7"/>
  <c r="M34" i="14" s="1"/>
  <c r="E29" i="7"/>
  <c r="K29" i="7"/>
  <c r="I29" i="7"/>
  <c r="R33" i="14"/>
  <c r="Y33" i="14"/>
  <c r="X33" i="14"/>
  <c r="S33" i="14"/>
  <c r="U33" i="14"/>
  <c r="AA33" i="14" s="1"/>
  <c r="V33" i="14"/>
  <c r="W33" i="14" s="1"/>
  <c r="AR31" i="14"/>
  <c r="AQ31" i="14"/>
  <c r="AT31" i="14"/>
  <c r="AP31" i="14"/>
  <c r="AZ18" i="14"/>
  <c r="AY18" i="14"/>
  <c r="AZ17" i="14"/>
  <c r="AY17" i="14"/>
  <c r="G18" i="12"/>
  <c r="H17" i="12"/>
  <c r="E13" i="13"/>
  <c r="J14" i="6"/>
  <c r="J19" i="6"/>
  <c r="J23" i="6"/>
  <c r="J26" i="7" s="1"/>
  <c r="AU31" i="14" s="1"/>
  <c r="J16" i="6"/>
  <c r="J20" i="6"/>
  <c r="J24" i="6"/>
  <c r="J27" i="7" s="1"/>
  <c r="J17" i="6"/>
  <c r="J21" i="6"/>
  <c r="J25" i="6"/>
  <c r="J28" i="7" s="1"/>
  <c r="J15" i="6"/>
  <c r="J18" i="6"/>
  <c r="J22" i="6"/>
  <c r="AK18" i="14" l="1"/>
  <c r="AJ19" i="14"/>
  <c r="AB19" i="14"/>
  <c r="AD19" i="14"/>
  <c r="AE19" i="14" s="1"/>
  <c r="AF19" i="14"/>
  <c r="AC19" i="14"/>
  <c r="AI19" i="14"/>
  <c r="AK19" i="14" s="1"/>
  <c r="AG19" i="14"/>
  <c r="AO19" i="14"/>
  <c r="AS19" i="14" s="1"/>
  <c r="AT18" i="14"/>
  <c r="AP18" i="14"/>
  <c r="AR18" i="14"/>
  <c r="AQ18" i="14"/>
  <c r="AZ19" i="14"/>
  <c r="AY19" i="14"/>
  <c r="F29" i="7"/>
  <c r="H29" i="7" s="1"/>
  <c r="C29" i="7"/>
  <c r="AK32" i="14"/>
  <c r="AW33" i="14"/>
  <c r="J26" i="6"/>
  <c r="J29" i="7" s="1"/>
  <c r="AX34" i="14"/>
  <c r="G29" i="10"/>
  <c r="L29" i="7" s="1"/>
  <c r="AY34" i="14" s="1"/>
  <c r="O34" i="14"/>
  <c r="J22" i="7"/>
  <c r="AU27" i="14" s="1"/>
  <c r="AS27" i="14"/>
  <c r="J21" i="7"/>
  <c r="AU26" i="14" s="1"/>
  <c r="AS26" i="14"/>
  <c r="J20" i="7"/>
  <c r="AU25" i="14" s="1"/>
  <c r="AS25" i="14"/>
  <c r="J15" i="7"/>
  <c r="AU20" i="14" s="1"/>
  <c r="AS20" i="14"/>
  <c r="Q35" i="14"/>
  <c r="J35" i="14"/>
  <c r="I35" i="14"/>
  <c r="N35" i="14"/>
  <c r="H35" i="14"/>
  <c r="L35" i="14"/>
  <c r="AH35" i="14" s="1"/>
  <c r="K35" i="14"/>
  <c r="J25" i="7"/>
  <c r="AU30" i="14" s="1"/>
  <c r="AS30" i="14"/>
  <c r="J17" i="7"/>
  <c r="AU22" i="14" s="1"/>
  <c r="AS22" i="14"/>
  <c r="X34" i="14"/>
  <c r="Y34" i="14"/>
  <c r="R34" i="14"/>
  <c r="U34" i="14"/>
  <c r="AA34" i="14" s="1"/>
  <c r="V34" i="14"/>
  <c r="W34" i="14" s="1"/>
  <c r="S34" i="14"/>
  <c r="B28" i="1"/>
  <c r="L27" i="1"/>
  <c r="D36" i="14" s="1"/>
  <c r="C36" i="14"/>
  <c r="E36" i="14"/>
  <c r="B31" i="10"/>
  <c r="B36" i="14"/>
  <c r="B28" i="6"/>
  <c r="A36" i="14"/>
  <c r="G36" i="14" s="1"/>
  <c r="B31" i="7"/>
  <c r="D30" i="10"/>
  <c r="D30" i="7" s="1"/>
  <c r="I27" i="6"/>
  <c r="E30" i="10" s="1"/>
  <c r="C27" i="6"/>
  <c r="AP32" i="14"/>
  <c r="AT32" i="14"/>
  <c r="AU32" i="14"/>
  <c r="AQ32" i="14"/>
  <c r="AR32" i="14"/>
  <c r="AS32" i="14"/>
  <c r="AZ33" i="14"/>
  <c r="AI33" i="14"/>
  <c r="AO33" i="14"/>
  <c r="AC33" i="14"/>
  <c r="AG33" i="14"/>
  <c r="AB33" i="14"/>
  <c r="AJ33" i="14"/>
  <c r="AD33" i="14"/>
  <c r="AE33" i="14" s="1"/>
  <c r="AF33" i="14"/>
  <c r="J23" i="7"/>
  <c r="AU28" i="14" s="1"/>
  <c r="AS28" i="14"/>
  <c r="J16" i="7"/>
  <c r="AU21" i="14" s="1"/>
  <c r="AS21" i="14"/>
  <c r="AS31" i="14"/>
  <c r="E30" i="7"/>
  <c r="G30" i="7"/>
  <c r="M35" i="14" s="1"/>
  <c r="F30" i="7"/>
  <c r="H30" i="7" s="1"/>
  <c r="K30" i="7"/>
  <c r="I30" i="7"/>
  <c r="J18" i="7"/>
  <c r="AU23" i="14" s="1"/>
  <c r="AS23" i="14"/>
  <c r="J19" i="7"/>
  <c r="AU24" i="14" s="1"/>
  <c r="AS24" i="14"/>
  <c r="J24" i="7"/>
  <c r="AU29" i="14" s="1"/>
  <c r="AS29" i="14"/>
  <c r="AU18" i="14"/>
  <c r="AS18" i="14"/>
  <c r="AU17" i="14"/>
  <c r="AS17" i="14"/>
  <c r="G19" i="12"/>
  <c r="H19" i="12" s="1"/>
  <c r="H18" i="12"/>
  <c r="E14" i="13"/>
  <c r="J7" i="6"/>
  <c r="J7" i="7" s="1"/>
  <c r="J10" i="7"/>
  <c r="J6" i="6"/>
  <c r="J6" i="7" s="1"/>
  <c r="J9" i="7"/>
  <c r="J5" i="6"/>
  <c r="J5" i="7" s="1"/>
  <c r="AU19" i="14" l="1"/>
  <c r="AP19" i="14"/>
  <c r="AR19" i="14"/>
  <c r="AQ19" i="14"/>
  <c r="AT19" i="14"/>
  <c r="J27" i="6"/>
  <c r="J30" i="7" s="1"/>
  <c r="AK33" i="14"/>
  <c r="O35" i="14"/>
  <c r="I31" i="7"/>
  <c r="E31" i="7"/>
  <c r="G31" i="7"/>
  <c r="M36" i="14" s="1"/>
  <c r="O36" i="14" s="1"/>
  <c r="K31" i="7"/>
  <c r="Q36" i="14"/>
  <c r="K36" i="14"/>
  <c r="N36" i="14"/>
  <c r="L36" i="14"/>
  <c r="AH36" i="14" s="1"/>
  <c r="H36" i="14"/>
  <c r="I36" i="14"/>
  <c r="J36" i="14"/>
  <c r="B32" i="10"/>
  <c r="B29" i="1"/>
  <c r="E37" i="14"/>
  <c r="L28" i="1"/>
  <c r="D37" i="14" s="1"/>
  <c r="B32" i="7"/>
  <c r="B29" i="6"/>
  <c r="A37" i="14"/>
  <c r="G37" i="14" s="1"/>
  <c r="B37" i="14"/>
  <c r="C37" i="14"/>
  <c r="AS33" i="14"/>
  <c r="AQ33" i="14"/>
  <c r="AR33" i="14"/>
  <c r="AT33" i="14"/>
  <c r="AU33" i="14"/>
  <c r="AP33" i="14"/>
  <c r="C28" i="6"/>
  <c r="C31" i="10" s="1"/>
  <c r="I28" i="6"/>
  <c r="E31" i="10" s="1"/>
  <c r="D31" i="10"/>
  <c r="D31" i="7" s="1"/>
  <c r="C30" i="7"/>
  <c r="AZ34" i="14"/>
  <c r="AG34" i="14"/>
  <c r="AO34" i="14"/>
  <c r="AC34" i="14"/>
  <c r="AB34" i="14"/>
  <c r="AJ34" i="14"/>
  <c r="AF34" i="14"/>
  <c r="AI34" i="14"/>
  <c r="AD34" i="14"/>
  <c r="AE34" i="14" s="1"/>
  <c r="C30" i="10"/>
  <c r="Y35" i="14"/>
  <c r="R35" i="14"/>
  <c r="W35" i="14"/>
  <c r="U35" i="14"/>
  <c r="AA35" i="14" s="1"/>
  <c r="S35" i="14"/>
  <c r="X35" i="14"/>
  <c r="V35" i="14"/>
  <c r="AW34" i="14"/>
  <c r="AU15" i="14"/>
  <c r="AS15" i="14"/>
  <c r="AU14" i="14"/>
  <c r="AS14" i="14"/>
  <c r="AU10" i="14"/>
  <c r="AS10" i="14"/>
  <c r="AU11" i="14"/>
  <c r="AS11" i="14"/>
  <c r="AU12" i="14"/>
  <c r="AS12" i="14"/>
  <c r="E15" i="13"/>
  <c r="F31" i="7" l="1"/>
  <c r="H31" i="7" s="1"/>
  <c r="C31" i="7"/>
  <c r="AK34" i="14"/>
  <c r="AX36" i="14"/>
  <c r="G31" i="10"/>
  <c r="L31" i="7" s="1"/>
  <c r="AY36" i="14" s="1"/>
  <c r="AG35" i="14"/>
  <c r="AI35" i="14"/>
  <c r="AB35" i="14"/>
  <c r="AF35" i="14"/>
  <c r="AO35" i="14"/>
  <c r="AD35" i="14"/>
  <c r="AE35" i="14" s="1"/>
  <c r="AJ35" i="14"/>
  <c r="AC35" i="14"/>
  <c r="I32" i="7"/>
  <c r="G32" i="7"/>
  <c r="M37" i="14" s="1"/>
  <c r="O37" i="14" s="1"/>
  <c r="E32" i="7"/>
  <c r="K32" i="7"/>
  <c r="J28" i="6"/>
  <c r="J31" i="7" s="1"/>
  <c r="D32" i="10"/>
  <c r="D32" i="7" s="1"/>
  <c r="AX35" i="14"/>
  <c r="G30" i="10"/>
  <c r="L30" i="7" s="1"/>
  <c r="AZ35" i="14" s="1"/>
  <c r="Q37" i="14"/>
  <c r="J37" i="14"/>
  <c r="I37" i="14"/>
  <c r="L37" i="14"/>
  <c r="AH37" i="14" s="1"/>
  <c r="H37" i="14"/>
  <c r="K37" i="14"/>
  <c r="N37" i="14"/>
  <c r="S36" i="14"/>
  <c r="X36" i="14"/>
  <c r="Y36" i="14"/>
  <c r="V36" i="14"/>
  <c r="W36" i="14" s="1"/>
  <c r="R36" i="14"/>
  <c r="U36" i="14"/>
  <c r="AA36" i="14" s="1"/>
  <c r="B30" i="1"/>
  <c r="E38" i="14"/>
  <c r="B30" i="6"/>
  <c r="L29" i="1"/>
  <c r="D38" i="14" s="1"/>
  <c r="A38" i="14"/>
  <c r="G38" i="14" s="1"/>
  <c r="B38" i="14"/>
  <c r="C38" i="14"/>
  <c r="B33" i="7"/>
  <c r="B33" i="10"/>
  <c r="AP34" i="14"/>
  <c r="AU34" i="14"/>
  <c r="AS34" i="14"/>
  <c r="AT34" i="14"/>
  <c r="AR34" i="14"/>
  <c r="AQ34" i="14"/>
  <c r="I29" i="6"/>
  <c r="C29" i="6"/>
  <c r="J29" i="6" s="1"/>
  <c r="E16" i="13"/>
  <c r="AK35" i="14" l="1"/>
  <c r="AZ36" i="14"/>
  <c r="AW35" i="14"/>
  <c r="AY35" i="14"/>
  <c r="J32" i="7"/>
  <c r="I30" i="6"/>
  <c r="E33" i="10" s="1"/>
  <c r="C30" i="6"/>
  <c r="I33" i="7"/>
  <c r="K33" i="7"/>
  <c r="E33" i="7"/>
  <c r="G33" i="7"/>
  <c r="E32" i="10"/>
  <c r="S37" i="14"/>
  <c r="U37" i="14"/>
  <c r="AA37" i="14" s="1"/>
  <c r="Y37" i="14"/>
  <c r="X37" i="14"/>
  <c r="R37" i="14"/>
  <c r="V37" i="14"/>
  <c r="W37" i="14" s="1"/>
  <c r="AW36" i="14"/>
  <c r="D33" i="10"/>
  <c r="D33" i="7" s="1"/>
  <c r="C32" i="7"/>
  <c r="AB36" i="14"/>
  <c r="AC36" i="14"/>
  <c r="AO36" i="14"/>
  <c r="AF36" i="14"/>
  <c r="AG36" i="14"/>
  <c r="AI36" i="14"/>
  <c r="AJ36" i="14"/>
  <c r="AD36" i="14"/>
  <c r="AE36" i="14" s="1"/>
  <c r="F32" i="7"/>
  <c r="H32" i="7" s="1"/>
  <c r="C32" i="10"/>
  <c r="B31" i="1"/>
  <c r="A39" i="14"/>
  <c r="G39" i="14" s="1"/>
  <c r="B34" i="7"/>
  <c r="B31" i="6"/>
  <c r="E39" i="14"/>
  <c r="C39" i="14"/>
  <c r="B39" i="14"/>
  <c r="L30" i="1"/>
  <c r="D39" i="14" s="1"/>
  <c r="B34" i="10"/>
  <c r="AS35" i="14"/>
  <c r="AQ35" i="14"/>
  <c r="AR35" i="14"/>
  <c r="AT35" i="14"/>
  <c r="AP35" i="14"/>
  <c r="AU35" i="14"/>
  <c r="Q38" i="14"/>
  <c r="I38" i="14"/>
  <c r="J38" i="14"/>
  <c r="L38" i="14"/>
  <c r="AH38" i="14" s="1"/>
  <c r="N38" i="14"/>
  <c r="K38" i="14"/>
  <c r="M38" i="14"/>
  <c r="O38" i="14" s="1"/>
  <c r="H38" i="14"/>
  <c r="E17" i="13"/>
  <c r="J30" i="6" l="1"/>
  <c r="F33" i="7"/>
  <c r="H33" i="7" s="1"/>
  <c r="J33" i="7"/>
  <c r="AK36" i="14"/>
  <c r="C33" i="7"/>
  <c r="AU36" i="14"/>
  <c r="AT36" i="14"/>
  <c r="AR36" i="14"/>
  <c r="AS36" i="14"/>
  <c r="AQ36" i="14"/>
  <c r="AP36" i="14"/>
  <c r="B32" i="1"/>
  <c r="E40" i="14"/>
  <c r="B40" i="14"/>
  <c r="L31" i="1"/>
  <c r="D40" i="14" s="1"/>
  <c r="B35" i="7"/>
  <c r="C40" i="14"/>
  <c r="B32" i="6"/>
  <c r="A40" i="14"/>
  <c r="G40" i="14" s="1"/>
  <c r="C31" i="6"/>
  <c r="I31" i="6"/>
  <c r="F34" i="7" s="1"/>
  <c r="H34" i="7" s="1"/>
  <c r="U38" i="14"/>
  <c r="AA38" i="14" s="1"/>
  <c r="R38" i="14"/>
  <c r="S38" i="14"/>
  <c r="Y38" i="14"/>
  <c r="V38" i="14"/>
  <c r="W38" i="14" s="1"/>
  <c r="X38" i="14"/>
  <c r="AX37" i="14"/>
  <c r="G32" i="10"/>
  <c r="L32" i="7" s="1"/>
  <c r="AY37" i="14" s="1"/>
  <c r="I34" i="7"/>
  <c r="G34" i="7"/>
  <c r="M39" i="14" s="1"/>
  <c r="O39" i="14" s="1"/>
  <c r="E34" i="7"/>
  <c r="K34" i="7"/>
  <c r="C33" i="10"/>
  <c r="AB37" i="14"/>
  <c r="AD37" i="14"/>
  <c r="AE37" i="14" s="1"/>
  <c r="AC37" i="14"/>
  <c r="AF37" i="14"/>
  <c r="AG37" i="14"/>
  <c r="AJ37" i="14"/>
  <c r="AO37" i="14"/>
  <c r="AI37" i="14"/>
  <c r="D34" i="10"/>
  <c r="D34" i="7" s="1"/>
  <c r="E34" i="10"/>
  <c r="Q39" i="14"/>
  <c r="H39" i="14"/>
  <c r="N39" i="14"/>
  <c r="I39" i="14"/>
  <c r="J39" i="14"/>
  <c r="K39" i="14"/>
  <c r="L39" i="14"/>
  <c r="AH39" i="14" s="1"/>
  <c r="E18" i="13"/>
  <c r="AK37" i="14" l="1"/>
  <c r="J31" i="6"/>
  <c r="J34" i="7" s="1"/>
  <c r="AZ37" i="14"/>
  <c r="Q40" i="14"/>
  <c r="J40" i="14"/>
  <c r="K40" i="14"/>
  <c r="L40" i="14"/>
  <c r="AH40" i="14" s="1"/>
  <c r="I40" i="14"/>
  <c r="N40" i="14"/>
  <c r="H40" i="14"/>
  <c r="B33" i="1"/>
  <c r="L32" i="1"/>
  <c r="B41" i="14"/>
  <c r="E41" i="14"/>
  <c r="A41" i="14"/>
  <c r="G41" i="14" s="1"/>
  <c r="D41" i="14"/>
  <c r="B36" i="7"/>
  <c r="C41" i="14"/>
  <c r="B33" i="6"/>
  <c r="U39" i="14"/>
  <c r="AA39" i="14" s="1"/>
  <c r="V39" i="14"/>
  <c r="W39" i="14" s="1"/>
  <c r="Y39" i="14"/>
  <c r="X39" i="14"/>
  <c r="S39" i="14"/>
  <c r="R39" i="14"/>
  <c r="I32" i="6"/>
  <c r="F35" i="7" s="1"/>
  <c r="H35" i="7" s="1"/>
  <c r="C32" i="6"/>
  <c r="C35" i="7" s="1"/>
  <c r="AW37" i="14"/>
  <c r="AF38" i="14"/>
  <c r="AI38" i="14"/>
  <c r="AJ38" i="14"/>
  <c r="AC38" i="14"/>
  <c r="AB38" i="14"/>
  <c r="AD38" i="14"/>
  <c r="AE38" i="14" s="1"/>
  <c r="AG38" i="14"/>
  <c r="AO38" i="14"/>
  <c r="K35" i="7"/>
  <c r="G35" i="7"/>
  <c r="M40" i="14" s="1"/>
  <c r="O40" i="14" s="1"/>
  <c r="D35" i="7"/>
  <c r="L35" i="7"/>
  <c r="E35" i="7"/>
  <c r="I35" i="7"/>
  <c r="AS37" i="14"/>
  <c r="AR37" i="14"/>
  <c r="AP37" i="14"/>
  <c r="AQ37" i="14"/>
  <c r="AU37" i="14"/>
  <c r="AT37" i="14"/>
  <c r="C34" i="10"/>
  <c r="C34" i="7"/>
  <c r="AX38" i="14"/>
  <c r="G33" i="10"/>
  <c r="L33" i="7" s="1"/>
  <c r="AZ38" i="14" s="1"/>
  <c r="E19" i="13"/>
  <c r="AK38" i="14" l="1"/>
  <c r="J32" i="6"/>
  <c r="J35" i="7" s="1"/>
  <c r="AW38" i="14"/>
  <c r="AY38" i="14"/>
  <c r="AX39" i="14"/>
  <c r="AX8" i="14" s="1"/>
  <c r="G34" i="10"/>
  <c r="L34" i="7" s="1"/>
  <c r="AY39" i="14" s="1"/>
  <c r="Q41" i="14"/>
  <c r="J41" i="14"/>
  <c r="H41" i="14"/>
  <c r="L41" i="14"/>
  <c r="AH41" i="14" s="1"/>
  <c r="I41" i="14"/>
  <c r="K41" i="14"/>
  <c r="N41" i="14"/>
  <c r="AS38" i="14"/>
  <c r="AP38" i="14"/>
  <c r="AQ38" i="14"/>
  <c r="AU38" i="14"/>
  <c r="AT38" i="14"/>
  <c r="AR38" i="14"/>
  <c r="I33" i="6"/>
  <c r="F36" i="7" s="1"/>
  <c r="H36" i="7" s="1"/>
  <c r="C33" i="6"/>
  <c r="B34" i="6"/>
  <c r="B34" i="1"/>
  <c r="L33" i="1"/>
  <c r="D42" i="14" s="1"/>
  <c r="B37" i="7"/>
  <c r="C42" i="14"/>
  <c r="A42" i="14"/>
  <c r="G42" i="14" s="1"/>
  <c r="B42" i="14"/>
  <c r="E42" i="14"/>
  <c r="AO39" i="14"/>
  <c r="AG39" i="14"/>
  <c r="AI39" i="14"/>
  <c r="AD39" i="14"/>
  <c r="AE39" i="14" s="1"/>
  <c r="AF39" i="14"/>
  <c r="AJ39" i="14"/>
  <c r="AC39" i="14"/>
  <c r="AB39" i="14"/>
  <c r="S40" i="14"/>
  <c r="R40" i="14"/>
  <c r="Y40" i="14"/>
  <c r="U40" i="14"/>
  <c r="AA40" i="14" s="1"/>
  <c r="X40" i="14"/>
  <c r="V40" i="14"/>
  <c r="W40" i="14" s="1"/>
  <c r="D36" i="7"/>
  <c r="E36" i="7"/>
  <c r="I36" i="7"/>
  <c r="G36" i="7"/>
  <c r="M41" i="14" s="1"/>
  <c r="O41" i="14" s="1"/>
  <c r="C36" i="7"/>
  <c r="K36" i="7"/>
  <c r="L36" i="7"/>
  <c r="E20" i="13"/>
  <c r="AY8" i="14" l="1"/>
  <c r="AK39" i="14"/>
  <c r="B35" i="1"/>
  <c r="B35" i="6"/>
  <c r="B43" i="14"/>
  <c r="L34" i="1"/>
  <c r="D43" i="14" s="1"/>
  <c r="E43" i="14"/>
  <c r="A43" i="14"/>
  <c r="G43" i="14" s="1"/>
  <c r="B38" i="7"/>
  <c r="C43" i="14"/>
  <c r="C34" i="6"/>
  <c r="I34" i="6"/>
  <c r="F37" i="7" s="1"/>
  <c r="H37" i="7" s="1"/>
  <c r="J33" i="6"/>
  <c r="J36" i="7" s="1"/>
  <c r="X41" i="14"/>
  <c r="S41" i="14"/>
  <c r="Y41" i="14"/>
  <c r="R41" i="14"/>
  <c r="U41" i="14"/>
  <c r="AA41" i="14" s="1"/>
  <c r="V41" i="14"/>
  <c r="W41" i="14" s="1"/>
  <c r="AD40" i="14"/>
  <c r="AE40" i="14" s="1"/>
  <c r="AG40" i="14"/>
  <c r="AF40" i="14"/>
  <c r="AI40" i="14"/>
  <c r="AO40" i="14"/>
  <c r="AB40" i="14"/>
  <c r="AJ40" i="14"/>
  <c r="AC40" i="14"/>
  <c r="Q42" i="14"/>
  <c r="L42" i="14"/>
  <c r="AH42" i="14" s="1"/>
  <c r="N42" i="14"/>
  <c r="J42" i="14"/>
  <c r="H42" i="14"/>
  <c r="K42" i="14"/>
  <c r="I42" i="14"/>
  <c r="AZ39" i="14"/>
  <c r="AZ8" i="14" s="1"/>
  <c r="G37" i="7"/>
  <c r="M42" i="14" s="1"/>
  <c r="O42" i="14" s="1"/>
  <c r="L37" i="7"/>
  <c r="E37" i="7"/>
  <c r="C37" i="7"/>
  <c r="I37" i="7"/>
  <c r="D37" i="7"/>
  <c r="K37" i="7"/>
  <c r="AQ39" i="14"/>
  <c r="AU39" i="14"/>
  <c r="AP39" i="14"/>
  <c r="AR39" i="14"/>
  <c r="AS39" i="14"/>
  <c r="AT39" i="14"/>
  <c r="AW39" i="14"/>
  <c r="I15" i="12"/>
  <c r="I16" i="12"/>
  <c r="I17" i="12"/>
  <c r="I18" i="12"/>
  <c r="I19" i="12"/>
  <c r="AK40" i="14" l="1"/>
  <c r="Q43" i="14"/>
  <c r="H43" i="14"/>
  <c r="I43" i="14"/>
  <c r="K43" i="14"/>
  <c r="N43" i="14"/>
  <c r="L43" i="14"/>
  <c r="AH43" i="14" s="1"/>
  <c r="J43" i="14"/>
  <c r="S42" i="14"/>
  <c r="X42" i="14"/>
  <c r="U42" i="14"/>
  <c r="AA42" i="14" s="1"/>
  <c r="Y42" i="14"/>
  <c r="R42" i="14"/>
  <c r="V42" i="14"/>
  <c r="W42" i="14" s="1"/>
  <c r="J34" i="6"/>
  <c r="J37" i="7" s="1"/>
  <c r="AR40" i="14"/>
  <c r="AS40" i="14"/>
  <c r="AU40" i="14"/>
  <c r="AP40" i="14"/>
  <c r="AT40" i="14"/>
  <c r="AQ40" i="14"/>
  <c r="B36" i="1"/>
  <c r="A44" i="14"/>
  <c r="G44" i="14" s="1"/>
  <c r="L35" i="1"/>
  <c r="D44" i="14" s="1"/>
  <c r="B44" i="14"/>
  <c r="B36" i="6"/>
  <c r="B39" i="7"/>
  <c r="C44" i="14"/>
  <c r="E44" i="14"/>
  <c r="AC41" i="14"/>
  <c r="AJ41" i="14"/>
  <c r="AD41" i="14"/>
  <c r="AE41" i="14" s="1"/>
  <c r="AO41" i="14"/>
  <c r="AG41" i="14"/>
  <c r="AF41" i="14"/>
  <c r="AI41" i="14"/>
  <c r="AB41" i="14"/>
  <c r="I35" i="6"/>
  <c r="C35" i="6"/>
  <c r="C38" i="7" s="1"/>
  <c r="I38" i="7"/>
  <c r="K38" i="7"/>
  <c r="L38" i="7"/>
  <c r="G38" i="7"/>
  <c r="M43" i="14" s="1"/>
  <c r="O43" i="14" s="1"/>
  <c r="E38" i="7"/>
  <c r="D38" i="7"/>
  <c r="J16" i="13"/>
  <c r="AK41" i="14" l="1"/>
  <c r="F38" i="7"/>
  <c r="H38" i="7" s="1"/>
  <c r="J35" i="6"/>
  <c r="J38" i="7" s="1"/>
  <c r="AT41" i="14"/>
  <c r="AU41" i="14"/>
  <c r="AR41" i="14"/>
  <c r="AQ41" i="14"/>
  <c r="AS41" i="14"/>
  <c r="AP41" i="14"/>
  <c r="I39" i="7"/>
  <c r="E39" i="7"/>
  <c r="K39" i="7"/>
  <c r="D39" i="7"/>
  <c r="L39" i="7"/>
  <c r="G39" i="7"/>
  <c r="M44" i="14" s="1"/>
  <c r="O44" i="14" s="1"/>
  <c r="C36" i="6"/>
  <c r="I36" i="6"/>
  <c r="AI42" i="14"/>
  <c r="AJ42" i="14"/>
  <c r="AB42" i="14"/>
  <c r="AG42" i="14"/>
  <c r="AF42" i="14"/>
  <c r="AC42" i="14"/>
  <c r="AO42" i="14"/>
  <c r="AD42" i="14"/>
  <c r="AE42" i="14" s="1"/>
  <c r="Q44" i="14"/>
  <c r="J44" i="14"/>
  <c r="L44" i="14"/>
  <c r="AH44" i="14" s="1"/>
  <c r="H44" i="14"/>
  <c r="N44" i="14"/>
  <c r="K44" i="14"/>
  <c r="I44" i="14"/>
  <c r="B37" i="1"/>
  <c r="B40" i="7"/>
  <c r="L36" i="1"/>
  <c r="D45" i="14" s="1"/>
  <c r="A45" i="14"/>
  <c r="G45" i="14" s="1"/>
  <c r="B45" i="14"/>
  <c r="B37" i="6"/>
  <c r="C45" i="14"/>
  <c r="E45" i="14"/>
  <c r="R43" i="14"/>
  <c r="S43" i="14"/>
  <c r="Y43" i="14"/>
  <c r="X43" i="14"/>
  <c r="U43" i="14"/>
  <c r="AA43" i="14" s="1"/>
  <c r="V43" i="14"/>
  <c r="W43" i="14" s="1"/>
  <c r="J15" i="12"/>
  <c r="K15" i="12" s="1"/>
  <c r="L15" i="12" s="1"/>
  <c r="F39" i="7" l="1"/>
  <c r="H39" i="7" s="1"/>
  <c r="J36" i="6"/>
  <c r="J39" i="7" s="1"/>
  <c r="AK42" i="14"/>
  <c r="E40" i="7"/>
  <c r="I40" i="7"/>
  <c r="L40" i="7"/>
  <c r="D40" i="7"/>
  <c r="G40" i="7"/>
  <c r="M45" i="14" s="1"/>
  <c r="O45" i="14" s="1"/>
  <c r="K40" i="7"/>
  <c r="Q45" i="14"/>
  <c r="H45" i="14"/>
  <c r="I45" i="14"/>
  <c r="J45" i="14"/>
  <c r="K45" i="14"/>
  <c r="N45" i="14"/>
  <c r="L45" i="14"/>
  <c r="AH45" i="14" s="1"/>
  <c r="R44" i="14"/>
  <c r="V44" i="14"/>
  <c r="W44" i="14" s="1"/>
  <c r="U44" i="14"/>
  <c r="AA44" i="14" s="1"/>
  <c r="Y44" i="14"/>
  <c r="X44" i="14"/>
  <c r="S44" i="14"/>
  <c r="AB43" i="14"/>
  <c r="AO43" i="14"/>
  <c r="AJ43" i="14"/>
  <c r="AD43" i="14"/>
  <c r="AE43" i="14" s="1"/>
  <c r="AC43" i="14"/>
  <c r="AI43" i="14"/>
  <c r="AF43" i="14"/>
  <c r="AG43" i="14"/>
  <c r="I37" i="6"/>
  <c r="F40" i="7" s="1"/>
  <c r="H40" i="7" s="1"/>
  <c r="C37" i="6"/>
  <c r="C40" i="7" s="1"/>
  <c r="AT42" i="14"/>
  <c r="AU42" i="14"/>
  <c r="AQ42" i="14"/>
  <c r="AR42" i="14"/>
  <c r="AP42" i="14"/>
  <c r="AS42" i="14"/>
  <c r="C39" i="7"/>
  <c r="L37" i="1"/>
  <c r="D46" i="14" s="1"/>
  <c r="B38" i="1"/>
  <c r="B38" i="6"/>
  <c r="C46" i="14"/>
  <c r="A46" i="14"/>
  <c r="G46" i="14" s="1"/>
  <c r="E46" i="14"/>
  <c r="B46" i="14"/>
  <c r="B41" i="7"/>
  <c r="J16" i="12"/>
  <c r="K16" i="12" s="1"/>
  <c r="L16" i="12" s="1"/>
  <c r="AK43" i="14" l="1"/>
  <c r="C38" i="6"/>
  <c r="I38" i="6"/>
  <c r="F41" i="7" s="1"/>
  <c r="H41" i="7" s="1"/>
  <c r="AF44" i="14"/>
  <c r="AD44" i="14"/>
  <c r="AE44" i="14" s="1"/>
  <c r="AG44" i="14"/>
  <c r="AJ44" i="14"/>
  <c r="AI44" i="14"/>
  <c r="AK44" i="14" s="1"/>
  <c r="AB44" i="14"/>
  <c r="AC44" i="14"/>
  <c r="AO44" i="14"/>
  <c r="G41" i="7"/>
  <c r="M46" i="14" s="1"/>
  <c r="O46" i="14" s="1"/>
  <c r="E41" i="7"/>
  <c r="L41" i="7"/>
  <c r="D41" i="7"/>
  <c r="K41" i="7"/>
  <c r="I41" i="7"/>
  <c r="J37" i="6"/>
  <c r="J40" i="7" s="1"/>
  <c r="B39" i="1"/>
  <c r="C47" i="14"/>
  <c r="L38" i="1"/>
  <c r="D47" i="14" s="1"/>
  <c r="E47" i="14"/>
  <c r="B42" i="7"/>
  <c r="B39" i="6"/>
  <c r="A47" i="14"/>
  <c r="G47" i="14" s="1"/>
  <c r="B47" i="14"/>
  <c r="AP43" i="14"/>
  <c r="AU43" i="14"/>
  <c r="AS43" i="14"/>
  <c r="AR43" i="14"/>
  <c r="AT43" i="14"/>
  <c r="AQ43" i="14"/>
  <c r="U45" i="14"/>
  <c r="AA45" i="14" s="1"/>
  <c r="S45" i="14"/>
  <c r="V45" i="14"/>
  <c r="W45" i="14" s="1"/>
  <c r="Y45" i="14"/>
  <c r="X45" i="14"/>
  <c r="R45" i="14"/>
  <c r="Q46" i="14"/>
  <c r="N46" i="14"/>
  <c r="L46" i="14"/>
  <c r="AH46" i="14" s="1"/>
  <c r="H46" i="14"/>
  <c r="I46" i="14"/>
  <c r="K46" i="14"/>
  <c r="J46" i="14"/>
  <c r="J17" i="12"/>
  <c r="K17" i="12" s="1"/>
  <c r="L17" i="12" s="1"/>
  <c r="J38" i="6" l="1"/>
  <c r="J41" i="7" s="1"/>
  <c r="C41" i="7"/>
  <c r="AJ45" i="14"/>
  <c r="AD45" i="14"/>
  <c r="AE45" i="14" s="1"/>
  <c r="AI45" i="14"/>
  <c r="AB45" i="14"/>
  <c r="AO45" i="14"/>
  <c r="AC45" i="14"/>
  <c r="AF45" i="14"/>
  <c r="AG45" i="14"/>
  <c r="B40" i="1"/>
  <c r="B48" i="14"/>
  <c r="C48" i="14"/>
  <c r="B43" i="7"/>
  <c r="A48" i="14"/>
  <c r="G48" i="14" s="1"/>
  <c r="E48" i="14"/>
  <c r="B40" i="6"/>
  <c r="L39" i="1"/>
  <c r="D48" i="14" s="1"/>
  <c r="Q47" i="14"/>
  <c r="L47" i="14"/>
  <c r="AH47" i="14" s="1"/>
  <c r="I47" i="14"/>
  <c r="J47" i="14"/>
  <c r="H47" i="14"/>
  <c r="K47" i="14"/>
  <c r="N47" i="14"/>
  <c r="AT44" i="14"/>
  <c r="AQ44" i="14"/>
  <c r="AP44" i="14"/>
  <c r="AU44" i="14"/>
  <c r="AS44" i="14"/>
  <c r="AR44" i="14"/>
  <c r="X46" i="14"/>
  <c r="R46" i="14"/>
  <c r="Y46" i="14"/>
  <c r="V46" i="14"/>
  <c r="W46" i="14" s="1"/>
  <c r="S46" i="14"/>
  <c r="U46" i="14"/>
  <c r="AA46" i="14" s="1"/>
  <c r="D42" i="7"/>
  <c r="L42" i="7"/>
  <c r="K42" i="7"/>
  <c r="G42" i="7"/>
  <c r="M47" i="14" s="1"/>
  <c r="O47" i="14" s="1"/>
  <c r="E42" i="7"/>
  <c r="I42" i="7"/>
  <c r="I39" i="6"/>
  <c r="F42" i="7" s="1"/>
  <c r="H42" i="7" s="1"/>
  <c r="C39" i="6"/>
  <c r="J39" i="6" s="1"/>
  <c r="J42" i="7" s="1"/>
  <c r="J18" i="12"/>
  <c r="K18" i="12" s="1"/>
  <c r="L18" i="12" s="1"/>
  <c r="AK45" i="14" l="1"/>
  <c r="Q48" i="14"/>
  <c r="H48" i="14"/>
  <c r="L48" i="14"/>
  <c r="AH48" i="14" s="1"/>
  <c r="I48" i="14"/>
  <c r="N48" i="14"/>
  <c r="J48" i="14"/>
  <c r="K48" i="14"/>
  <c r="I43" i="7"/>
  <c r="L43" i="7"/>
  <c r="D43" i="7"/>
  <c r="E43" i="7"/>
  <c r="G43" i="7"/>
  <c r="M48" i="14" s="1"/>
  <c r="O48" i="14" s="1"/>
  <c r="K43" i="7"/>
  <c r="AS45" i="14"/>
  <c r="AU45" i="14"/>
  <c r="AT45" i="14"/>
  <c r="AP45" i="14"/>
  <c r="AQ45" i="14"/>
  <c r="AR45" i="14"/>
  <c r="X47" i="14"/>
  <c r="U47" i="14"/>
  <c r="AA47" i="14" s="1"/>
  <c r="S47" i="14"/>
  <c r="V47" i="14"/>
  <c r="W47" i="14" s="1"/>
  <c r="R47" i="14"/>
  <c r="Y47" i="14"/>
  <c r="B41" i="1"/>
  <c r="A49" i="14"/>
  <c r="G49" i="14" s="1"/>
  <c r="B44" i="7"/>
  <c r="D49" i="14"/>
  <c r="B41" i="6"/>
  <c r="B49" i="14"/>
  <c r="C49" i="14"/>
  <c r="L40" i="1"/>
  <c r="E49" i="14"/>
  <c r="C42" i="7"/>
  <c r="AJ46" i="14"/>
  <c r="AI46" i="14"/>
  <c r="AC46" i="14"/>
  <c r="AF46" i="14"/>
  <c r="AD46" i="14"/>
  <c r="AE46" i="14" s="1"/>
  <c r="AG46" i="14"/>
  <c r="AB46" i="14"/>
  <c r="AO46" i="14"/>
  <c r="C40" i="6"/>
  <c r="I40" i="6"/>
  <c r="F43" i="7" s="1"/>
  <c r="H43" i="7" s="1"/>
  <c r="J19" i="12"/>
  <c r="K19" i="12" s="1"/>
  <c r="L19" i="12" s="1"/>
  <c r="J40" i="6" l="1"/>
  <c r="J43" i="7" s="1"/>
  <c r="AK46" i="14"/>
  <c r="C41" i="6"/>
  <c r="C44" i="7" s="1"/>
  <c r="I41" i="6"/>
  <c r="F44" i="7" s="1"/>
  <c r="H44" i="7" s="1"/>
  <c r="C43" i="7"/>
  <c r="AJ47" i="14"/>
  <c r="AO47" i="14"/>
  <c r="AG47" i="14"/>
  <c r="AD47" i="14"/>
  <c r="AE47" i="14" s="1"/>
  <c r="AB47" i="14"/>
  <c r="AC47" i="14"/>
  <c r="AI47" i="14"/>
  <c r="AF47" i="14"/>
  <c r="AR46" i="14"/>
  <c r="AS46" i="14"/>
  <c r="AU46" i="14"/>
  <c r="AP46" i="14"/>
  <c r="AQ46" i="14"/>
  <c r="AT46" i="14"/>
  <c r="B42" i="1"/>
  <c r="A50" i="14"/>
  <c r="G50" i="14" s="1"/>
  <c r="E50" i="14"/>
  <c r="C50" i="14"/>
  <c r="B50" i="14"/>
  <c r="L41" i="1"/>
  <c r="D50" i="14" s="1"/>
  <c r="B42" i="6"/>
  <c r="B45" i="7"/>
  <c r="K44" i="7"/>
  <c r="I44" i="7"/>
  <c r="L44" i="7"/>
  <c r="D44" i="7"/>
  <c r="G44" i="7"/>
  <c r="E44" i="7"/>
  <c r="Q49" i="14"/>
  <c r="J49" i="14"/>
  <c r="N49" i="14"/>
  <c r="I49" i="14"/>
  <c r="M49" i="14"/>
  <c r="O49" i="14" s="1"/>
  <c r="H49" i="14"/>
  <c r="L49" i="14"/>
  <c r="AH49" i="14" s="1"/>
  <c r="K49" i="14"/>
  <c r="V48" i="14"/>
  <c r="W48" i="14" s="1"/>
  <c r="S48" i="14"/>
  <c r="U48" i="14"/>
  <c r="AA48" i="14" s="1"/>
  <c r="R48" i="14"/>
  <c r="X48" i="14"/>
  <c r="Y48" i="14"/>
  <c r="J18" i="13"/>
  <c r="J17" i="13"/>
  <c r="AK47" i="14" l="1"/>
  <c r="X49" i="14"/>
  <c r="U49" i="14"/>
  <c r="AA49" i="14" s="1"/>
  <c r="V49" i="14"/>
  <c r="R49" i="14"/>
  <c r="Y49" i="14"/>
  <c r="S49" i="14"/>
  <c r="W49" i="14"/>
  <c r="L45" i="7"/>
  <c r="D45" i="7"/>
  <c r="I45" i="7"/>
  <c r="E45" i="7"/>
  <c r="K45" i="7"/>
  <c r="G45" i="7"/>
  <c r="B43" i="1"/>
  <c r="B51" i="14"/>
  <c r="B43" i="6"/>
  <c r="E51" i="14"/>
  <c r="L42" i="1"/>
  <c r="D51" i="14" s="1"/>
  <c r="B46" i="7"/>
  <c r="C51" i="14"/>
  <c r="A51" i="14"/>
  <c r="G51" i="14" s="1"/>
  <c r="AR47" i="14"/>
  <c r="AS47" i="14"/>
  <c r="AP47" i="14"/>
  <c r="AU47" i="14"/>
  <c r="AQ47" i="14"/>
  <c r="AT47" i="14"/>
  <c r="AF48" i="14"/>
  <c r="AG48" i="14"/>
  <c r="AD48" i="14"/>
  <c r="AE48" i="14" s="1"/>
  <c r="AO48" i="14"/>
  <c r="AC48" i="14"/>
  <c r="AJ48" i="14"/>
  <c r="AB48" i="14"/>
  <c r="AI48" i="14"/>
  <c r="AK48" i="14" s="1"/>
  <c r="C42" i="6"/>
  <c r="I42" i="6"/>
  <c r="F45" i="7" s="1"/>
  <c r="H45" i="7" s="1"/>
  <c r="Q50" i="14"/>
  <c r="K50" i="14"/>
  <c r="L50" i="14"/>
  <c r="AH50" i="14" s="1"/>
  <c r="H50" i="14"/>
  <c r="I50" i="14"/>
  <c r="J50" i="14"/>
  <c r="N50" i="14"/>
  <c r="M50" i="14"/>
  <c r="O50" i="14" s="1"/>
  <c r="J41" i="6"/>
  <c r="J44" i="7" s="1"/>
  <c r="J19" i="13"/>
  <c r="K46" i="7" l="1"/>
  <c r="D46" i="7"/>
  <c r="E46" i="7"/>
  <c r="I46" i="7"/>
  <c r="G46" i="7"/>
  <c r="M51" i="14" s="1"/>
  <c r="O51" i="14" s="1"/>
  <c r="L46" i="7"/>
  <c r="AR48" i="14"/>
  <c r="AT48" i="14"/>
  <c r="AU48" i="14"/>
  <c r="AQ48" i="14"/>
  <c r="AS48" i="14"/>
  <c r="AP48" i="14"/>
  <c r="J42" i="6"/>
  <c r="J45" i="7" s="1"/>
  <c r="Q51" i="14"/>
  <c r="J51" i="14"/>
  <c r="N51" i="14"/>
  <c r="K51" i="14"/>
  <c r="L51" i="14"/>
  <c r="AH51" i="14" s="1"/>
  <c r="I51" i="14"/>
  <c r="H51" i="14"/>
  <c r="B44" i="1"/>
  <c r="B52" i="14"/>
  <c r="E52" i="14"/>
  <c r="A52" i="14"/>
  <c r="G52" i="14" s="1"/>
  <c r="B47" i="7"/>
  <c r="C52" i="14"/>
  <c r="B44" i="6"/>
  <c r="L43" i="1"/>
  <c r="D52" i="14" s="1"/>
  <c r="AG49" i="14"/>
  <c r="AD49" i="14"/>
  <c r="AE49" i="14" s="1"/>
  <c r="AI49" i="14"/>
  <c r="AF49" i="14"/>
  <c r="AJ49" i="14"/>
  <c r="AB49" i="14"/>
  <c r="AO49" i="14"/>
  <c r="AC49" i="14"/>
  <c r="U50" i="14"/>
  <c r="AA50" i="14" s="1"/>
  <c r="R50" i="14"/>
  <c r="W50" i="14"/>
  <c r="Y50" i="14"/>
  <c r="S50" i="14"/>
  <c r="X50" i="14"/>
  <c r="V50" i="14"/>
  <c r="C45" i="7"/>
  <c r="I43" i="6"/>
  <c r="F46" i="7" s="1"/>
  <c r="H46" i="7" s="1"/>
  <c r="C43" i="6"/>
  <c r="J20" i="13"/>
  <c r="J43" i="6" l="1"/>
  <c r="AK49" i="14"/>
  <c r="D47" i="7"/>
  <c r="I47" i="7"/>
  <c r="E47" i="7"/>
  <c r="G47" i="7"/>
  <c r="K47" i="7"/>
  <c r="L47" i="7"/>
  <c r="AJ50" i="14"/>
  <c r="AB50" i="14"/>
  <c r="AD50" i="14"/>
  <c r="AE50" i="14" s="1"/>
  <c r="AI50" i="14"/>
  <c r="AK50" i="14" s="1"/>
  <c r="AF50" i="14"/>
  <c r="AG50" i="14"/>
  <c r="AO50" i="14"/>
  <c r="AC50" i="14"/>
  <c r="Q52" i="14"/>
  <c r="I52" i="14"/>
  <c r="H52" i="14"/>
  <c r="J52" i="14"/>
  <c r="M52" i="14"/>
  <c r="O52" i="14" s="1"/>
  <c r="N52" i="14"/>
  <c r="L52" i="14"/>
  <c r="AH52" i="14" s="1"/>
  <c r="K52" i="14"/>
  <c r="J46" i="7"/>
  <c r="B45" i="1"/>
  <c r="B45" i="6"/>
  <c r="A53" i="14"/>
  <c r="G53" i="14" s="1"/>
  <c r="B53" i="14"/>
  <c r="C53" i="14"/>
  <c r="E53" i="14"/>
  <c r="B48" i="7"/>
  <c r="L44" i="1"/>
  <c r="D53" i="14" s="1"/>
  <c r="C46" i="7"/>
  <c r="AP49" i="14"/>
  <c r="AT49" i="14"/>
  <c r="AS49" i="14"/>
  <c r="AU49" i="14"/>
  <c r="AQ49" i="14"/>
  <c r="AR49" i="14"/>
  <c r="X51" i="14"/>
  <c r="Y51" i="14"/>
  <c r="U51" i="14"/>
  <c r="AA51" i="14" s="1"/>
  <c r="S51" i="14"/>
  <c r="R51" i="14"/>
  <c r="V51" i="14"/>
  <c r="W51" i="14" s="1"/>
  <c r="C44" i="6"/>
  <c r="I44" i="6"/>
  <c r="F47" i="7" s="1"/>
  <c r="H47" i="7" s="1"/>
  <c r="I45" i="6" l="1"/>
  <c r="C45" i="6"/>
  <c r="J45" i="6" s="1"/>
  <c r="J48" i="7" s="1"/>
  <c r="J44" i="6"/>
  <c r="B46" i="1"/>
  <c r="E54" i="14"/>
  <c r="A54" i="14"/>
  <c r="G54" i="14" s="1"/>
  <c r="C54" i="14"/>
  <c r="B54" i="14"/>
  <c r="B49" i="7"/>
  <c r="L45" i="1"/>
  <c r="B46" i="6"/>
  <c r="D54" i="14"/>
  <c r="Q53" i="14"/>
  <c r="H53" i="14"/>
  <c r="I53" i="14"/>
  <c r="K53" i="14"/>
  <c r="J53" i="14"/>
  <c r="N53" i="14"/>
  <c r="L53" i="14"/>
  <c r="AH53" i="14" s="1"/>
  <c r="J47" i="7"/>
  <c r="X52" i="14"/>
  <c r="R52" i="14"/>
  <c r="V52" i="14"/>
  <c r="W52" i="14" s="1"/>
  <c r="U52" i="14"/>
  <c r="AA52" i="14" s="1"/>
  <c r="S52" i="14"/>
  <c r="Y52" i="14"/>
  <c r="K48" i="7"/>
  <c r="F48" i="7"/>
  <c r="H48" i="7" s="1"/>
  <c r="I48" i="7"/>
  <c r="D48" i="7"/>
  <c r="E48" i="7"/>
  <c r="L48" i="7"/>
  <c r="C48" i="7"/>
  <c r="G48" i="7"/>
  <c r="M53" i="14" s="1"/>
  <c r="O53" i="14" s="1"/>
  <c r="AJ51" i="14"/>
  <c r="AB51" i="14"/>
  <c r="AC51" i="14"/>
  <c r="AD51" i="14"/>
  <c r="AE51" i="14" s="1"/>
  <c r="AI51" i="14"/>
  <c r="AG51" i="14"/>
  <c r="AF51" i="14"/>
  <c r="AO51" i="14"/>
  <c r="AP50" i="14"/>
  <c r="AS50" i="14"/>
  <c r="AU50" i="14"/>
  <c r="AT50" i="14"/>
  <c r="AR50" i="14"/>
  <c r="AQ50" i="14"/>
  <c r="C47" i="7"/>
  <c r="J4" i="6"/>
  <c r="AS9" i="14" s="1"/>
  <c r="AK51" i="14" l="1"/>
  <c r="Q54" i="14"/>
  <c r="N54" i="14"/>
  <c r="J54" i="14"/>
  <c r="H54" i="14"/>
  <c r="I54" i="14"/>
  <c r="L54" i="14"/>
  <c r="AH54" i="14" s="1"/>
  <c r="K54" i="14"/>
  <c r="AI52" i="14"/>
  <c r="AJ52" i="14"/>
  <c r="AC52" i="14"/>
  <c r="AD52" i="14"/>
  <c r="AE52" i="14" s="1"/>
  <c r="AB52" i="14"/>
  <c r="AO52" i="14"/>
  <c r="AG52" i="14"/>
  <c r="AF52" i="14"/>
  <c r="I46" i="6"/>
  <c r="C46" i="6"/>
  <c r="Y53" i="14"/>
  <c r="X53" i="14"/>
  <c r="S53" i="14"/>
  <c r="U53" i="14"/>
  <c r="AA53" i="14" s="1"/>
  <c r="R53" i="14"/>
  <c r="V53" i="14"/>
  <c r="W53" i="14" s="1"/>
  <c r="B47" i="1"/>
  <c r="A55" i="14"/>
  <c r="G55" i="14" s="1"/>
  <c r="B50" i="7"/>
  <c r="B47" i="6"/>
  <c r="B55" i="14"/>
  <c r="C55" i="14"/>
  <c r="L46" i="1"/>
  <c r="D55" i="14" s="1"/>
  <c r="E55" i="14"/>
  <c r="AR51" i="14"/>
  <c r="AP51" i="14"/>
  <c r="AQ51" i="14"/>
  <c r="AU51" i="14"/>
  <c r="AS51" i="14"/>
  <c r="AT51" i="14"/>
  <c r="I49" i="7"/>
  <c r="G49" i="7"/>
  <c r="L49" i="7"/>
  <c r="E49" i="7"/>
  <c r="K49" i="7"/>
  <c r="D49" i="7"/>
  <c r="J4" i="7"/>
  <c r="AU9" i="14" s="1"/>
  <c r="J46" i="6" l="1"/>
  <c r="J49" i="7" s="1"/>
  <c r="AK52" i="14"/>
  <c r="B48" i="1"/>
  <c r="B56" i="14"/>
  <c r="C56" i="14"/>
  <c r="B51" i="7"/>
  <c r="B48" i="6"/>
  <c r="L47" i="1"/>
  <c r="D56" i="14" s="1"/>
  <c r="A56" i="14"/>
  <c r="G56" i="14" s="1"/>
  <c r="E56" i="14"/>
  <c r="M54" i="14"/>
  <c r="O54" i="14" s="1"/>
  <c r="AJ53" i="14"/>
  <c r="AF53" i="14"/>
  <c r="AI53" i="14"/>
  <c r="AB53" i="14"/>
  <c r="AC53" i="14"/>
  <c r="AD53" i="14"/>
  <c r="AE53" i="14" s="1"/>
  <c r="AO53" i="14"/>
  <c r="AG53" i="14"/>
  <c r="F49" i="7"/>
  <c r="C49" i="7"/>
  <c r="I47" i="6"/>
  <c r="F50" i="7" s="1"/>
  <c r="H50" i="7" s="1"/>
  <c r="C47" i="6"/>
  <c r="U54" i="14"/>
  <c r="AA54" i="14" s="1"/>
  <c r="Y54" i="14"/>
  <c r="X54" i="14"/>
  <c r="R54" i="14"/>
  <c r="V54" i="14"/>
  <c r="W54" i="14" s="1"/>
  <c r="S54" i="14"/>
  <c r="Q55" i="14"/>
  <c r="I55" i="14"/>
  <c r="L55" i="14"/>
  <c r="AH55" i="14" s="1"/>
  <c r="H55" i="14"/>
  <c r="N55" i="14"/>
  <c r="K55" i="14"/>
  <c r="J55" i="14"/>
  <c r="G50" i="7"/>
  <c r="D50" i="7"/>
  <c r="L50" i="7"/>
  <c r="K50" i="7"/>
  <c r="I50" i="7"/>
  <c r="E50" i="7"/>
  <c r="AP52" i="14"/>
  <c r="AU52" i="14"/>
  <c r="AR52" i="14"/>
  <c r="AQ52" i="14"/>
  <c r="AT52" i="14"/>
  <c r="AS52" i="14"/>
  <c r="H49" i="7" l="1"/>
  <c r="AK53" i="14"/>
  <c r="J47" i="6"/>
  <c r="J50" i="7" s="1"/>
  <c r="AJ54" i="14"/>
  <c r="AC54" i="14"/>
  <c r="AD54" i="14"/>
  <c r="AE54" i="14" s="1"/>
  <c r="AG54" i="14"/>
  <c r="AI54" i="14"/>
  <c r="AF54" i="14"/>
  <c r="AO54" i="14"/>
  <c r="AB54" i="14"/>
  <c r="AR53" i="14"/>
  <c r="AP53" i="14"/>
  <c r="AQ53" i="14"/>
  <c r="AS53" i="14"/>
  <c r="AU53" i="14"/>
  <c r="AT53" i="14"/>
  <c r="B49" i="1"/>
  <c r="L48" i="1"/>
  <c r="D57" i="14" s="1"/>
  <c r="A57" i="14"/>
  <c r="G57" i="14" s="1"/>
  <c r="B52" i="7"/>
  <c r="E57" i="14"/>
  <c r="B49" i="6"/>
  <c r="B57" i="14"/>
  <c r="C57" i="14"/>
  <c r="C50" i="7"/>
  <c r="X55" i="14"/>
  <c r="R55" i="14"/>
  <c r="U55" i="14"/>
  <c r="AA55" i="14" s="1"/>
  <c r="Y55" i="14"/>
  <c r="V55" i="14"/>
  <c r="W55" i="14" s="1"/>
  <c r="S55" i="14"/>
  <c r="Q56" i="14"/>
  <c r="K56" i="14"/>
  <c r="L56" i="14"/>
  <c r="AH56" i="14" s="1"/>
  <c r="H56" i="14"/>
  <c r="N56" i="14"/>
  <c r="J56" i="14"/>
  <c r="M56" i="14"/>
  <c r="O56" i="14" s="1"/>
  <c r="I56" i="14"/>
  <c r="M55" i="14"/>
  <c r="O55" i="14" s="1"/>
  <c r="C48" i="6"/>
  <c r="C51" i="7" s="1"/>
  <c r="I48" i="6"/>
  <c r="F51" i="7" s="1"/>
  <c r="H51" i="7" s="1"/>
  <c r="L51" i="7"/>
  <c r="I51" i="7"/>
  <c r="E51" i="7"/>
  <c r="K51" i="7"/>
  <c r="D51" i="7"/>
  <c r="G51" i="7"/>
  <c r="AK54" i="14" l="1"/>
  <c r="B50" i="1"/>
  <c r="C58" i="14"/>
  <c r="E58" i="14"/>
  <c r="L49" i="1"/>
  <c r="D58" i="14" s="1"/>
  <c r="B53" i="7"/>
  <c r="B50" i="6"/>
  <c r="A58" i="14"/>
  <c r="G58" i="14" s="1"/>
  <c r="B58" i="14"/>
  <c r="AU54" i="14"/>
  <c r="AQ54" i="14"/>
  <c r="AR54" i="14"/>
  <c r="AT54" i="14"/>
  <c r="AS54" i="14"/>
  <c r="AP54" i="14"/>
  <c r="Q57" i="14"/>
  <c r="I57" i="14"/>
  <c r="J57" i="14"/>
  <c r="N57" i="14"/>
  <c r="K57" i="14"/>
  <c r="H57" i="14"/>
  <c r="L57" i="14"/>
  <c r="AH57" i="14" s="1"/>
  <c r="J48" i="6"/>
  <c r="J51" i="7" s="1"/>
  <c r="I49" i="6"/>
  <c r="F52" i="7" s="1"/>
  <c r="H52" i="7" s="1"/>
  <c r="C49" i="6"/>
  <c r="AF55" i="14"/>
  <c r="AG55" i="14"/>
  <c r="AD55" i="14"/>
  <c r="AE55" i="14" s="1"/>
  <c r="AI55" i="14"/>
  <c r="AJ55" i="14"/>
  <c r="AB55" i="14"/>
  <c r="AC55" i="14"/>
  <c r="AO55" i="14"/>
  <c r="V56" i="14"/>
  <c r="W56" i="14" s="1"/>
  <c r="Y56" i="14"/>
  <c r="R56" i="14"/>
  <c r="X56" i="14"/>
  <c r="S56" i="14"/>
  <c r="U56" i="14"/>
  <c r="AA56" i="14" s="1"/>
  <c r="K52" i="7"/>
  <c r="L52" i="7"/>
  <c r="I52" i="7"/>
  <c r="D52" i="7"/>
  <c r="C52" i="7"/>
  <c r="E52" i="7"/>
  <c r="G52" i="7"/>
  <c r="M57" i="14" s="1"/>
  <c r="O57" i="14" s="1"/>
  <c r="AK55" i="14" l="1"/>
  <c r="AT55" i="14"/>
  <c r="AP55" i="14"/>
  <c r="AU55" i="14"/>
  <c r="AR55" i="14"/>
  <c r="AQ55" i="14"/>
  <c r="AS55" i="14"/>
  <c r="J49" i="6"/>
  <c r="J52" i="7" s="1"/>
  <c r="B51" i="1"/>
  <c r="C59" i="14"/>
  <c r="L50" i="1"/>
  <c r="D59" i="14" s="1"/>
  <c r="B54" i="7"/>
  <c r="B59" i="14"/>
  <c r="E59" i="14"/>
  <c r="A59" i="14"/>
  <c r="G59" i="14" s="1"/>
  <c r="B51" i="6"/>
  <c r="R57" i="14"/>
  <c r="S57" i="14"/>
  <c r="Y57" i="14"/>
  <c r="V57" i="14"/>
  <c r="W57" i="14" s="1"/>
  <c r="U57" i="14"/>
  <c r="AA57" i="14" s="1"/>
  <c r="X57" i="14"/>
  <c r="Q58" i="14"/>
  <c r="I58" i="14"/>
  <c r="J58" i="14"/>
  <c r="K58" i="14"/>
  <c r="H58" i="14"/>
  <c r="N58" i="14"/>
  <c r="L58" i="14"/>
  <c r="AH58" i="14" s="1"/>
  <c r="AB56" i="14"/>
  <c r="AI56" i="14"/>
  <c r="AG56" i="14"/>
  <c r="AD56" i="14"/>
  <c r="AE56" i="14" s="1"/>
  <c r="AF56" i="14"/>
  <c r="AO56" i="14"/>
  <c r="AC56" i="14"/>
  <c r="AJ56" i="14"/>
  <c r="C50" i="6"/>
  <c r="C53" i="7" s="1"/>
  <c r="I50" i="6"/>
  <c r="F53" i="7" s="1"/>
  <c r="H53" i="7" s="1"/>
  <c r="K53" i="7"/>
  <c r="G53" i="7"/>
  <c r="M58" i="14" s="1"/>
  <c r="O58" i="14" s="1"/>
  <c r="D53" i="7"/>
  <c r="L53" i="7"/>
  <c r="E53" i="7"/>
  <c r="I53" i="7"/>
  <c r="AK56" i="14" l="1"/>
  <c r="AO57" i="14"/>
  <c r="AJ57" i="14"/>
  <c r="AD57" i="14"/>
  <c r="AE57" i="14" s="1"/>
  <c r="AC57" i="14"/>
  <c r="AG57" i="14"/>
  <c r="AI57" i="14"/>
  <c r="AB57" i="14"/>
  <c r="AF57" i="14"/>
  <c r="Q59" i="14"/>
  <c r="I59" i="14"/>
  <c r="H59" i="14"/>
  <c r="N59" i="14"/>
  <c r="J59" i="14"/>
  <c r="L59" i="14"/>
  <c r="AH59" i="14" s="1"/>
  <c r="K59" i="14"/>
  <c r="J50" i="6"/>
  <c r="J53" i="7" s="1"/>
  <c r="E54" i="7"/>
  <c r="G54" i="7"/>
  <c r="M59" i="14" s="1"/>
  <c r="O59" i="14" s="1"/>
  <c r="D54" i="7"/>
  <c r="I54" i="7"/>
  <c r="K54" i="7"/>
  <c r="L54" i="7"/>
  <c r="S58" i="14"/>
  <c r="U58" i="14"/>
  <c r="AA58" i="14" s="1"/>
  <c r="V58" i="14"/>
  <c r="W58" i="14" s="1"/>
  <c r="X58" i="14"/>
  <c r="R58" i="14"/>
  <c r="Y58" i="14"/>
  <c r="AU56" i="14"/>
  <c r="AP56" i="14"/>
  <c r="AT56" i="14"/>
  <c r="AQ56" i="14"/>
  <c r="AR56" i="14"/>
  <c r="AS56" i="14"/>
  <c r="I51" i="6"/>
  <c r="F54" i="7" s="1"/>
  <c r="C51" i="6"/>
  <c r="C54" i="7" s="1"/>
  <c r="B52" i="1"/>
  <c r="B60" i="14"/>
  <c r="B52" i="6"/>
  <c r="C60" i="14"/>
  <c r="B55" i="7"/>
  <c r="E60" i="14"/>
  <c r="L51" i="1"/>
  <c r="D60" i="14" s="1"/>
  <c r="A60" i="14"/>
  <c r="G60" i="14" s="1"/>
  <c r="AK57" i="14" l="1"/>
  <c r="H54" i="7"/>
  <c r="B53" i="1"/>
  <c r="A61" i="14"/>
  <c r="G61" i="14" s="1"/>
  <c r="B61" i="14"/>
  <c r="E61" i="14"/>
  <c r="C61" i="14"/>
  <c r="L52" i="1"/>
  <c r="D61" i="14"/>
  <c r="B56" i="7"/>
  <c r="B53" i="6"/>
  <c r="J51" i="6"/>
  <c r="J54" i="7" s="1"/>
  <c r="D55" i="7"/>
  <c r="I55" i="7"/>
  <c r="L55" i="7"/>
  <c r="E55" i="7"/>
  <c r="G55" i="7"/>
  <c r="M60" i="14" s="1"/>
  <c r="O60" i="14" s="1"/>
  <c r="K55" i="7"/>
  <c r="X59" i="14"/>
  <c r="U59" i="14"/>
  <c r="AA59" i="14" s="1"/>
  <c r="Y59" i="14"/>
  <c r="V59" i="14"/>
  <c r="W59" i="14" s="1"/>
  <c r="S59" i="14"/>
  <c r="R59" i="14"/>
  <c r="Q60" i="14"/>
  <c r="N60" i="14"/>
  <c r="K60" i="14"/>
  <c r="H60" i="14"/>
  <c r="J60" i="14"/>
  <c r="I60" i="14"/>
  <c r="L60" i="14"/>
  <c r="AH60" i="14" s="1"/>
  <c r="AT57" i="14"/>
  <c r="AQ57" i="14"/>
  <c r="AP57" i="14"/>
  <c r="AS57" i="14"/>
  <c r="AR57" i="14"/>
  <c r="AU57" i="14"/>
  <c r="C52" i="6"/>
  <c r="C55" i="7" s="1"/>
  <c r="I52" i="6"/>
  <c r="F55" i="7" s="1"/>
  <c r="H55" i="7" s="1"/>
  <c r="AD58" i="14"/>
  <c r="AE58" i="14" s="1"/>
  <c r="AC58" i="14"/>
  <c r="AG58" i="14"/>
  <c r="AI58" i="14"/>
  <c r="AF58" i="14"/>
  <c r="AB58" i="14"/>
  <c r="AJ58" i="14"/>
  <c r="AO58" i="14"/>
  <c r="AK58" i="14" l="1"/>
  <c r="G56" i="7"/>
  <c r="K56" i="7"/>
  <c r="E56" i="7"/>
  <c r="D56" i="7"/>
  <c r="L56" i="7"/>
  <c r="I56" i="7"/>
  <c r="AU58" i="14"/>
  <c r="AR58" i="14"/>
  <c r="AQ58" i="14"/>
  <c r="AT58" i="14"/>
  <c r="AP58" i="14"/>
  <c r="AS58" i="14"/>
  <c r="AI59" i="14"/>
  <c r="AF59" i="14"/>
  <c r="AJ59" i="14"/>
  <c r="AO59" i="14"/>
  <c r="AB59" i="14"/>
  <c r="AG59" i="14"/>
  <c r="AD59" i="14"/>
  <c r="AE59" i="14" s="1"/>
  <c r="AC59" i="14"/>
  <c r="J52" i="6"/>
  <c r="J55" i="7" s="1"/>
  <c r="U60" i="14"/>
  <c r="AA60" i="14" s="1"/>
  <c r="V60" i="14"/>
  <c r="W60" i="14" s="1"/>
  <c r="S60" i="14"/>
  <c r="X60" i="14"/>
  <c r="R60" i="14"/>
  <c r="Y60" i="14"/>
  <c r="Q61" i="14"/>
  <c r="N61" i="14"/>
  <c r="K61" i="14"/>
  <c r="M61" i="14"/>
  <c r="O61" i="14" s="1"/>
  <c r="I61" i="14"/>
  <c r="J61" i="14"/>
  <c r="L61" i="14"/>
  <c r="AH61" i="14" s="1"/>
  <c r="H61" i="14"/>
  <c r="I53" i="6"/>
  <c r="F56" i="7" s="1"/>
  <c r="H56" i="7" s="1"/>
  <c r="C53" i="6"/>
  <c r="B54" i="1"/>
  <c r="B62" i="14"/>
  <c r="L53" i="1"/>
  <c r="C62" i="14"/>
  <c r="B57" i="7"/>
  <c r="B54" i="6"/>
  <c r="D62" i="14"/>
  <c r="E62" i="14"/>
  <c r="A62" i="14"/>
  <c r="G62" i="14" s="1"/>
  <c r="AK59" i="14" l="1"/>
  <c r="B55" i="1"/>
  <c r="B55" i="6"/>
  <c r="B58" i="7"/>
  <c r="E63" i="14"/>
  <c r="C63" i="14"/>
  <c r="A63" i="14"/>
  <c r="G63" i="14" s="1"/>
  <c r="L54" i="1"/>
  <c r="D63" i="14" s="1"/>
  <c r="B63" i="14"/>
  <c r="J53" i="6"/>
  <c r="AR59" i="14"/>
  <c r="AP59" i="14"/>
  <c r="AS59" i="14"/>
  <c r="AQ59" i="14"/>
  <c r="AT59" i="14"/>
  <c r="AU59" i="14"/>
  <c r="Q62" i="14"/>
  <c r="L62" i="14"/>
  <c r="AH62" i="14" s="1"/>
  <c r="N62" i="14"/>
  <c r="J62" i="14"/>
  <c r="K62" i="14"/>
  <c r="H62" i="14"/>
  <c r="I62" i="14"/>
  <c r="I54" i="6"/>
  <c r="F57" i="7" s="1"/>
  <c r="H57" i="7" s="1"/>
  <c r="C54" i="6"/>
  <c r="I57" i="7"/>
  <c r="G57" i="7"/>
  <c r="M62" i="14" s="1"/>
  <c r="O62" i="14" s="1"/>
  <c r="E57" i="7"/>
  <c r="K57" i="7"/>
  <c r="L57" i="7"/>
  <c r="D57" i="7"/>
  <c r="J56" i="7"/>
  <c r="R61" i="14"/>
  <c r="S61" i="14"/>
  <c r="U61" i="14"/>
  <c r="AA61" i="14" s="1"/>
  <c r="X61" i="14"/>
  <c r="V61" i="14"/>
  <c r="W61" i="14" s="1"/>
  <c r="Y61" i="14"/>
  <c r="AG60" i="14"/>
  <c r="AO60" i="14"/>
  <c r="AF60" i="14"/>
  <c r="AI60" i="14"/>
  <c r="AC60" i="14"/>
  <c r="AJ60" i="14"/>
  <c r="AB60" i="14"/>
  <c r="AD60" i="14"/>
  <c r="AE60" i="14" s="1"/>
  <c r="C56" i="7"/>
  <c r="J54" i="6" l="1"/>
  <c r="J57" i="7" s="1"/>
  <c r="AK60" i="14"/>
  <c r="C57" i="7"/>
  <c r="Q63" i="14"/>
  <c r="H63" i="14"/>
  <c r="I63" i="14"/>
  <c r="N63" i="14"/>
  <c r="L63" i="14"/>
  <c r="AH63" i="14" s="1"/>
  <c r="K63" i="14"/>
  <c r="J63" i="14"/>
  <c r="AC61" i="14"/>
  <c r="AB61" i="14"/>
  <c r="AO61" i="14"/>
  <c r="AF61" i="14"/>
  <c r="AG61" i="14"/>
  <c r="AD61" i="14"/>
  <c r="AE61" i="14" s="1"/>
  <c r="AI61" i="14"/>
  <c r="AJ61" i="14"/>
  <c r="G58" i="7"/>
  <c r="M63" i="14" s="1"/>
  <c r="O63" i="14" s="1"/>
  <c r="D58" i="7"/>
  <c r="I58" i="7"/>
  <c r="L58" i="7"/>
  <c r="E58" i="7"/>
  <c r="K58" i="7"/>
  <c r="C55" i="6"/>
  <c r="I55" i="6"/>
  <c r="F58" i="7" s="1"/>
  <c r="H58" i="7" s="1"/>
  <c r="AP60" i="14"/>
  <c r="AS60" i="14"/>
  <c r="AT60" i="14"/>
  <c r="AR60" i="14"/>
  <c r="AQ60" i="14"/>
  <c r="AU60" i="14"/>
  <c r="U62" i="14"/>
  <c r="AA62" i="14" s="1"/>
  <c r="R62" i="14"/>
  <c r="V62" i="14"/>
  <c r="W62" i="14" s="1"/>
  <c r="Y62" i="14"/>
  <c r="X62" i="14"/>
  <c r="S62" i="14"/>
  <c r="B56" i="1"/>
  <c r="L55" i="1"/>
  <c r="D64" i="14" s="1"/>
  <c r="B64" i="14"/>
  <c r="B59" i="7"/>
  <c r="A64" i="14"/>
  <c r="G64" i="14" s="1"/>
  <c r="B56" i="6"/>
  <c r="C64" i="14"/>
  <c r="E64" i="14"/>
  <c r="AK61" i="14" l="1"/>
  <c r="K59" i="7"/>
  <c r="L59" i="7"/>
  <c r="E59" i="7"/>
  <c r="I59" i="7"/>
  <c r="D59" i="7"/>
  <c r="G59" i="7"/>
  <c r="M64" i="14" s="1"/>
  <c r="O64" i="14" s="1"/>
  <c r="B57" i="1"/>
  <c r="B60" i="7"/>
  <c r="B57" i="6"/>
  <c r="E65" i="14"/>
  <c r="L56" i="1"/>
  <c r="D65" i="14" s="1"/>
  <c r="A65" i="14"/>
  <c r="G65" i="14" s="1"/>
  <c r="B65" i="14"/>
  <c r="C65" i="14"/>
  <c r="J55" i="6"/>
  <c r="J58" i="7" s="1"/>
  <c r="AT61" i="14"/>
  <c r="AS61" i="14"/>
  <c r="AR61" i="14"/>
  <c r="AP61" i="14"/>
  <c r="AQ61" i="14"/>
  <c r="AU61" i="14"/>
  <c r="AI62" i="14"/>
  <c r="AO62" i="14"/>
  <c r="AF62" i="14"/>
  <c r="AC62" i="14"/>
  <c r="AD62" i="14"/>
  <c r="AE62" i="14" s="1"/>
  <c r="AJ62" i="14"/>
  <c r="AB62" i="14"/>
  <c r="AG62" i="14"/>
  <c r="C56" i="6"/>
  <c r="I56" i="6"/>
  <c r="C58" i="7"/>
  <c r="Q64" i="14"/>
  <c r="N64" i="14"/>
  <c r="H64" i="14"/>
  <c r="J64" i="14"/>
  <c r="K64" i="14"/>
  <c r="L64" i="14"/>
  <c r="AH64" i="14" s="1"/>
  <c r="I64" i="14"/>
  <c r="R63" i="14"/>
  <c r="S63" i="14"/>
  <c r="V63" i="14"/>
  <c r="W63" i="14" s="1"/>
  <c r="X63" i="14"/>
  <c r="U63" i="14"/>
  <c r="AA63" i="14" s="1"/>
  <c r="Y63" i="14"/>
  <c r="J56" i="6" l="1"/>
  <c r="C59" i="7"/>
  <c r="J59" i="7"/>
  <c r="AK62" i="14"/>
  <c r="Y64" i="14"/>
  <c r="X64" i="14"/>
  <c r="U64" i="14"/>
  <c r="AA64" i="14" s="1"/>
  <c r="V64" i="14"/>
  <c r="W64" i="14" s="1"/>
  <c r="R64" i="14"/>
  <c r="S64" i="14"/>
  <c r="AG63" i="14"/>
  <c r="AD63" i="14"/>
  <c r="AE63" i="14" s="1"/>
  <c r="AB63" i="14"/>
  <c r="AO63" i="14"/>
  <c r="AI63" i="14"/>
  <c r="AF63" i="14"/>
  <c r="AJ63" i="14"/>
  <c r="AC63" i="14"/>
  <c r="C57" i="6"/>
  <c r="I57" i="6"/>
  <c r="F60" i="7" s="1"/>
  <c r="H60" i="7" s="1"/>
  <c r="F59" i="7"/>
  <c r="H59" i="7" s="1"/>
  <c r="B58" i="1"/>
  <c r="A66" i="14"/>
  <c r="G66" i="14" s="1"/>
  <c r="B66" i="14"/>
  <c r="L57" i="1"/>
  <c r="D66" i="14" s="1"/>
  <c r="E66" i="14"/>
  <c r="C66" i="14"/>
  <c r="B58" i="6"/>
  <c r="B61" i="7"/>
  <c r="AR62" i="14"/>
  <c r="AU62" i="14"/>
  <c r="AT62" i="14"/>
  <c r="AS62" i="14"/>
  <c r="AP62" i="14"/>
  <c r="AQ62" i="14"/>
  <c r="L60" i="7"/>
  <c r="D60" i="7"/>
  <c r="K60" i="7"/>
  <c r="C60" i="7"/>
  <c r="G60" i="7"/>
  <c r="M65" i="14" s="1"/>
  <c r="O65" i="14" s="1"/>
  <c r="E60" i="7"/>
  <c r="I60" i="7"/>
  <c r="Q65" i="14"/>
  <c r="L65" i="14"/>
  <c r="AH65" i="14" s="1"/>
  <c r="N65" i="14"/>
  <c r="J65" i="14"/>
  <c r="I65" i="14"/>
  <c r="K65" i="14"/>
  <c r="H65" i="14"/>
  <c r="AK63" i="14" l="1"/>
  <c r="R65" i="14"/>
  <c r="S65" i="14"/>
  <c r="Y65" i="14"/>
  <c r="U65" i="14"/>
  <c r="AA65" i="14" s="1"/>
  <c r="V65" i="14"/>
  <c r="X65" i="14"/>
  <c r="W65" i="14"/>
  <c r="Q66" i="14"/>
  <c r="J66" i="14"/>
  <c r="L66" i="14"/>
  <c r="AH66" i="14" s="1"/>
  <c r="K66" i="14"/>
  <c r="I66" i="14"/>
  <c r="H66" i="14"/>
  <c r="N66" i="14"/>
  <c r="I61" i="7"/>
  <c r="L61" i="7"/>
  <c r="G61" i="7"/>
  <c r="M66" i="14" s="1"/>
  <c r="O66" i="14" s="1"/>
  <c r="K61" i="7"/>
  <c r="D61" i="7"/>
  <c r="E61" i="7"/>
  <c r="B59" i="1"/>
  <c r="B62" i="7"/>
  <c r="B67" i="14"/>
  <c r="B59" i="6"/>
  <c r="C67" i="14"/>
  <c r="A67" i="14"/>
  <c r="G67" i="14" s="1"/>
  <c r="E67" i="14"/>
  <c r="L58" i="1"/>
  <c r="D67" i="14" s="1"/>
  <c r="AT63" i="14"/>
  <c r="AR63" i="14"/>
  <c r="AQ63" i="14"/>
  <c r="AP63" i="14"/>
  <c r="AS63" i="14"/>
  <c r="AU63" i="14"/>
  <c r="AG64" i="14"/>
  <c r="AI64" i="14"/>
  <c r="AK64" i="14" s="1"/>
  <c r="AO64" i="14"/>
  <c r="AB64" i="14"/>
  <c r="AF64" i="14"/>
  <c r="AD64" i="14"/>
  <c r="AE64" i="14" s="1"/>
  <c r="AC64" i="14"/>
  <c r="AJ64" i="14"/>
  <c r="I58" i="6"/>
  <c r="C58" i="6"/>
  <c r="J57" i="6"/>
  <c r="J60" i="7" s="1"/>
  <c r="J58" i="6" l="1"/>
  <c r="C61" i="7"/>
  <c r="J61" i="7"/>
  <c r="E68" i="14"/>
  <c r="E8" i="14" s="1"/>
  <c r="B60" i="6"/>
  <c r="B63" i="7"/>
  <c r="A68" i="14"/>
  <c r="G68" i="14" s="1"/>
  <c r="L59" i="1"/>
  <c r="D68" i="14" s="1"/>
  <c r="D8" i="14" s="1"/>
  <c r="B68" i="14"/>
  <c r="B8" i="14" s="1"/>
  <c r="C68" i="14"/>
  <c r="C8" i="14" s="1"/>
  <c r="D62" i="7"/>
  <c r="L62" i="7"/>
  <c r="K62" i="7"/>
  <c r="G62" i="7"/>
  <c r="M67" i="14" s="1"/>
  <c r="O67" i="14" s="1"/>
  <c r="F62" i="7"/>
  <c r="H62" i="7" s="1"/>
  <c r="E62" i="7"/>
  <c r="I62" i="7"/>
  <c r="F61" i="7"/>
  <c r="H61" i="7" s="1"/>
  <c r="AF65" i="14"/>
  <c r="AI65" i="14"/>
  <c r="AB65" i="14"/>
  <c r="AG65" i="14"/>
  <c r="AJ65" i="14"/>
  <c r="AK65" i="14" s="1"/>
  <c r="AO65" i="14"/>
  <c r="AD65" i="14"/>
  <c r="AE65" i="14" s="1"/>
  <c r="AC65" i="14"/>
  <c r="Q67" i="14"/>
  <c r="N67" i="14"/>
  <c r="I67" i="14"/>
  <c r="J67" i="14"/>
  <c r="K67" i="14"/>
  <c r="L67" i="14"/>
  <c r="AH67" i="14" s="1"/>
  <c r="H67" i="14"/>
  <c r="I59" i="6"/>
  <c r="C59" i="6"/>
  <c r="J59" i="6" s="1"/>
  <c r="AP64" i="14"/>
  <c r="AQ64" i="14"/>
  <c r="AR64" i="14"/>
  <c r="AS64" i="14"/>
  <c r="AT64" i="14"/>
  <c r="AU64" i="14"/>
  <c r="X66" i="14"/>
  <c r="Y66" i="14"/>
  <c r="R66" i="14"/>
  <c r="V66" i="14"/>
  <c r="S66" i="14"/>
  <c r="W66" i="14"/>
  <c r="U66" i="14"/>
  <c r="AA66" i="14" s="1"/>
  <c r="J62" i="7" l="1"/>
  <c r="C62" i="7"/>
  <c r="AB66" i="14"/>
  <c r="AJ66" i="14"/>
  <c r="AD66" i="14"/>
  <c r="AE66" i="14" s="1"/>
  <c r="AO66" i="14"/>
  <c r="AI66" i="14"/>
  <c r="AK66" i="14"/>
  <c r="AC66" i="14"/>
  <c r="AG66" i="14"/>
  <c r="AF66" i="14"/>
  <c r="X67" i="14"/>
  <c r="V67" i="14"/>
  <c r="W67" i="14" s="1"/>
  <c r="Y67" i="14"/>
  <c r="U67" i="14"/>
  <c r="AA67" i="14" s="1"/>
  <c r="R67" i="14"/>
  <c r="S67" i="14"/>
  <c r="Q68" i="14"/>
  <c r="N68" i="14"/>
  <c r="N8" i="14" s="1"/>
  <c r="H68" i="14"/>
  <c r="H8" i="14" s="1"/>
  <c r="L68" i="14"/>
  <c r="I68" i="14"/>
  <c r="I8" i="14" s="1"/>
  <c r="J68" i="14"/>
  <c r="J8" i="14" s="1"/>
  <c r="K68" i="14"/>
  <c r="K8" i="14" s="1"/>
  <c r="I60" i="6"/>
  <c r="H10" i="8" s="1"/>
  <c r="C60" i="6"/>
  <c r="AT65" i="14"/>
  <c r="AP65" i="14"/>
  <c r="AS65" i="14"/>
  <c r="AQ65" i="14"/>
  <c r="AR65" i="14"/>
  <c r="AU65" i="14"/>
  <c r="G63" i="7"/>
  <c r="C63" i="7"/>
  <c r="K63" i="7"/>
  <c r="H17" i="8" s="1"/>
  <c r="L63" i="7"/>
  <c r="H24" i="8" s="1"/>
  <c r="E63" i="7"/>
  <c r="H5" i="8" s="1"/>
  <c r="I63" i="7"/>
  <c r="H16" i="8" s="1"/>
  <c r="D63" i="7"/>
  <c r="AH68" i="14" l="1"/>
  <c r="L8" i="14"/>
  <c r="AO67" i="14"/>
  <c r="AB67" i="14"/>
  <c r="AJ67" i="14"/>
  <c r="AD67" i="14"/>
  <c r="AE67" i="14" s="1"/>
  <c r="AC67" i="14"/>
  <c r="AF67" i="14"/>
  <c r="AI67" i="14"/>
  <c r="AG67" i="14"/>
  <c r="J60" i="6"/>
  <c r="J63" i="7" s="1"/>
  <c r="H23" i="8" s="1"/>
  <c r="H25" i="8" s="1"/>
  <c r="H26" i="8" s="1"/>
  <c r="H27" i="8" s="1"/>
  <c r="D36" i="8"/>
  <c r="H6" i="8"/>
  <c r="H18" i="8"/>
  <c r="H19" i="8" s="1"/>
  <c r="H20" i="8" s="1"/>
  <c r="S68" i="14"/>
  <c r="Y68" i="14"/>
  <c r="Y8" i="14" s="1"/>
  <c r="R68" i="14"/>
  <c r="V68" i="14"/>
  <c r="W68" i="14" s="1"/>
  <c r="U68" i="14"/>
  <c r="AA68" i="14" s="1"/>
  <c r="X68" i="14"/>
  <c r="F63" i="7"/>
  <c r="M68" i="14"/>
  <c r="M8" i="14" s="1"/>
  <c r="AS66" i="14"/>
  <c r="AT66" i="14"/>
  <c r="AP66" i="14"/>
  <c r="AR66" i="14"/>
  <c r="AU66" i="14"/>
  <c r="AQ66" i="14"/>
  <c r="AK67" i="14" l="1"/>
  <c r="H63" i="7"/>
  <c r="H11" i="8"/>
  <c r="H30" i="8" s="1"/>
  <c r="H39" i="8"/>
  <c r="C10" i="13" s="1"/>
  <c r="AB68" i="14"/>
  <c r="AJ68" i="14"/>
  <c r="AO68" i="14"/>
  <c r="AF68" i="14"/>
  <c r="AF8" i="14" s="1"/>
  <c r="AG68" i="14"/>
  <c r="AG8" i="14" s="1"/>
  <c r="AC68" i="14"/>
  <c r="AD68" i="14"/>
  <c r="AE68" i="14" s="1"/>
  <c r="C4" i="13"/>
  <c r="H7" i="8"/>
  <c r="O68" i="14"/>
  <c r="O8" i="14" s="1"/>
  <c r="AU67" i="14"/>
  <c r="AP67" i="14"/>
  <c r="AT67" i="14"/>
  <c r="AS67" i="14"/>
  <c r="AQ67" i="14"/>
  <c r="AR67" i="14"/>
  <c r="B13" i="12" l="1"/>
  <c r="F36" i="8"/>
  <c r="H36" i="8" s="1"/>
  <c r="I37" i="8" s="1"/>
  <c r="H12" i="8"/>
  <c r="AI68" i="14"/>
  <c r="AT68" i="14"/>
  <c r="AT8" i="14" s="1"/>
  <c r="AR68" i="14"/>
  <c r="AU68" i="14"/>
  <c r="AU8" i="14" s="1"/>
  <c r="AQ68" i="14"/>
  <c r="AS68" i="14"/>
  <c r="AS8" i="14" s="1"/>
  <c r="AP68" i="14"/>
  <c r="C6" i="13"/>
  <c r="C12" i="13" l="1"/>
  <c r="M6" i="13" s="1"/>
  <c r="L4" i="12"/>
  <c r="J5" i="12" s="1"/>
  <c r="B15" i="12"/>
  <c r="B14" i="12" s="1"/>
  <c r="AK68" i="14"/>
  <c r="AK8" i="14" s="1"/>
  <c r="AI8" i="14"/>
  <c r="K7" i="13"/>
  <c r="C5" i="13"/>
  <c r="H13" i="8"/>
  <c r="H31" i="8"/>
  <c r="I10" i="12"/>
  <c r="J11" i="13" s="1"/>
  <c r="I13" i="12"/>
  <c r="J14" i="13" s="1"/>
  <c r="I7" i="12"/>
  <c r="J8" i="13" s="1"/>
  <c r="I14" i="12"/>
  <c r="J15" i="13" s="1"/>
  <c r="I6" i="12"/>
  <c r="J7" i="13" s="1"/>
  <c r="I11" i="12"/>
  <c r="J12" i="13" s="1"/>
  <c r="I8" i="12"/>
  <c r="J9" i="13" s="1"/>
  <c r="I9" i="12"/>
  <c r="J10" i="13" s="1"/>
  <c r="I5" i="12"/>
  <c r="I12" i="12"/>
  <c r="J13" i="13" s="1"/>
  <c r="N18" i="13"/>
  <c r="I18" i="13" s="1"/>
  <c r="N7" i="13"/>
  <c r="I7" i="13" s="1"/>
  <c r="N15" i="13"/>
  <c r="I15" i="13" s="1"/>
  <c r="N19" i="13"/>
  <c r="I19" i="13" s="1"/>
  <c r="N8" i="13"/>
  <c r="I8" i="13" s="1"/>
  <c r="N20" i="13"/>
  <c r="I20" i="13" s="1"/>
  <c r="N9" i="13"/>
  <c r="I9" i="13" s="1"/>
  <c r="N13" i="13"/>
  <c r="I13" i="13" s="1"/>
  <c r="N14" i="13"/>
  <c r="I14" i="13" s="1"/>
  <c r="N17" i="13"/>
  <c r="I17" i="13" s="1"/>
  <c r="N12" i="13"/>
  <c r="I12" i="13" s="1"/>
  <c r="N10" i="13"/>
  <c r="I10" i="13" s="1"/>
  <c r="N16" i="13"/>
  <c r="I16" i="13" s="1"/>
  <c r="N11" i="13"/>
  <c r="I11" i="13" s="1"/>
  <c r="F8" i="13" l="1"/>
  <c r="F19" i="13"/>
  <c r="F7" i="13"/>
  <c r="F17" i="13"/>
  <c r="F18" i="13"/>
  <c r="F20" i="13"/>
  <c r="F10" i="13"/>
  <c r="F12" i="13"/>
  <c r="F16" i="13"/>
  <c r="F14" i="13"/>
  <c r="F11" i="13"/>
  <c r="F13" i="13"/>
  <c r="F15" i="13"/>
  <c r="F9" i="13"/>
  <c r="L7" i="13"/>
  <c r="K8" i="13"/>
  <c r="C7" i="13"/>
  <c r="H32" i="8"/>
  <c r="J6" i="13"/>
  <c r="K5" i="12"/>
  <c r="L5" i="12" s="1"/>
  <c r="J6" i="12" s="1"/>
  <c r="K6" i="12" s="1"/>
  <c r="L6" i="12" s="1"/>
  <c r="J7" i="12" s="1"/>
  <c r="K7" i="12" s="1"/>
  <c r="L7" i="12" s="1"/>
  <c r="J8" i="12" s="1"/>
  <c r="K8" i="12" s="1"/>
  <c r="L8" i="12" s="1"/>
  <c r="J9" i="12" s="1"/>
  <c r="K9" i="12" s="1"/>
  <c r="L9" i="12" s="1"/>
  <c r="J10" i="12" s="1"/>
  <c r="K10" i="12" s="1"/>
  <c r="L10" i="12" s="1"/>
  <c r="J11" i="12" s="1"/>
  <c r="K11" i="12" s="1"/>
  <c r="L11" i="12" s="1"/>
  <c r="J12" i="12" s="1"/>
  <c r="K12" i="12" s="1"/>
  <c r="L12" i="12" s="1"/>
  <c r="J13" i="12" s="1"/>
  <c r="K13" i="12" s="1"/>
  <c r="L13" i="12" s="1"/>
  <c r="J14" i="12" s="1"/>
  <c r="K14" i="12" s="1"/>
  <c r="L14" i="12" s="1"/>
  <c r="H7" i="13" l="1"/>
  <c r="G7" i="13" s="1"/>
  <c r="O7" i="13"/>
  <c r="L8" i="13"/>
  <c r="K9" i="13"/>
  <c r="O6" i="13"/>
  <c r="H6" i="13"/>
  <c r="G6" i="13" s="1"/>
  <c r="K10" i="13" l="1"/>
  <c r="L9" i="13"/>
  <c r="H8" i="13"/>
  <c r="G8" i="13" s="1"/>
  <c r="O8" i="13"/>
  <c r="O9" i="13" l="1"/>
  <c r="H9" i="13"/>
  <c r="G9" i="13" s="1"/>
  <c r="L10" i="13"/>
  <c r="K11" i="13"/>
  <c r="O10" i="13" l="1"/>
  <c r="H10" i="13"/>
  <c r="G10" i="13" s="1"/>
  <c r="L11" i="13"/>
  <c r="K12" i="13"/>
  <c r="L12" i="13" l="1"/>
  <c r="K13" i="13"/>
  <c r="H11" i="13"/>
  <c r="G11" i="13" s="1"/>
  <c r="O11" i="13"/>
  <c r="L13" i="13" l="1"/>
  <c r="K14" i="13"/>
  <c r="H12" i="13"/>
  <c r="G12" i="13" s="1"/>
  <c r="O12" i="13"/>
  <c r="H13" i="13" l="1"/>
  <c r="G13" i="13" s="1"/>
  <c r="O13" i="13"/>
  <c r="L14" i="13"/>
  <c r="K15" i="13"/>
  <c r="H14" i="13" l="1"/>
  <c r="G14" i="13" s="1"/>
  <c r="O14" i="13"/>
  <c r="K16" i="13"/>
  <c r="L15" i="13"/>
  <c r="L16" i="13" l="1"/>
  <c r="K17" i="13"/>
  <c r="H15" i="13"/>
  <c r="G15" i="13" s="1"/>
  <c r="O15" i="13"/>
  <c r="K18" i="13" l="1"/>
  <c r="L17" i="13"/>
  <c r="H16" i="13"/>
  <c r="G16" i="13" s="1"/>
  <c r="O16" i="13"/>
  <c r="H17" i="13" l="1"/>
  <c r="G17" i="13" s="1"/>
  <c r="O17" i="13"/>
  <c r="K19" i="13"/>
  <c r="L18" i="13"/>
  <c r="H18" i="13" l="1"/>
  <c r="G18" i="13" s="1"/>
  <c r="O18" i="13"/>
  <c r="K20" i="13"/>
  <c r="L20" i="13" s="1"/>
  <c r="L19" i="13"/>
  <c r="H24" i="13" l="1"/>
  <c r="H43" i="8" s="1"/>
  <c r="H20" i="13"/>
  <c r="G20" i="13" s="1"/>
  <c r="O20" i="13"/>
  <c r="H19" i="13"/>
  <c r="G19" i="13" s="1"/>
  <c r="O19" i="13"/>
  <c r="H42" i="8" l="1"/>
  <c r="C13" i="13"/>
  <c r="C14" i="13"/>
</calcChain>
</file>

<file path=xl/comments1.xml><?xml version="1.0" encoding="utf-8"?>
<comments xmlns="http://schemas.openxmlformats.org/spreadsheetml/2006/main">
  <authors>
    <author>Συντάκτης</author>
  </authors>
  <commentList>
    <comment ref="B15" authorId="0" shapeId="0">
      <text>
        <r>
          <rPr>
            <sz val="9"/>
            <color indexed="81"/>
            <rFont val="Tahoma"/>
            <family val="2"/>
            <charset val="161"/>
          </rPr>
          <t>Έως 50 χαρακτήρες.</t>
        </r>
      </text>
    </comment>
    <comment ref="B16" authorId="0" shapeId="0">
      <text>
        <r>
          <rPr>
            <sz val="9"/>
            <color indexed="81"/>
            <rFont val="Tahoma"/>
            <family val="2"/>
            <charset val="161"/>
          </rPr>
          <t>Έως 150 χαρακτήρες.</t>
        </r>
      </text>
    </comment>
    <comment ref="B17" authorId="0" shapeId="0">
      <text>
        <r>
          <rPr>
            <sz val="9"/>
            <color indexed="81"/>
            <rFont val="Tahoma"/>
            <family val="2"/>
            <charset val="161"/>
          </rPr>
          <t xml:space="preserve">Έως 400 χαρακτήρες.
</t>
        </r>
      </text>
    </comment>
  </commentList>
</comments>
</file>

<file path=xl/comments2.xml><?xml version="1.0" encoding="utf-8"?>
<comments xmlns="http://schemas.openxmlformats.org/spreadsheetml/2006/main">
  <authors>
    <author>Συντάκτης</author>
  </authors>
  <commentList>
    <comment ref="C3" authorId="0" shape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1).</t>
        </r>
      </text>
    </comment>
    <comment ref="H3" authorId="0" shapeId="0">
      <text>
        <r>
          <rPr>
            <sz val="9"/>
            <color indexed="81"/>
            <rFont val="Tahoma"/>
            <family val="2"/>
            <charset val="161"/>
          </rPr>
          <t xml:space="preserve">
Αριθμός συμβατικών φωτιστικών σωμάτων προς αντικατάσταση.</t>
        </r>
      </text>
    </comment>
    <comment ref="I3" authorId="0" shapeId="0">
      <text>
        <r>
          <rPr>
            <sz val="9"/>
            <color indexed="81"/>
            <rFont val="Tahoma"/>
            <family val="2"/>
            <charset val="161"/>
          </rPr>
          <t xml:space="preserve">
Ισχύς Συμβατικού Λαμπτήρα (W/μονάδα).</t>
        </r>
      </text>
    </comment>
    <comment ref="J3" authorId="0" shapeId="0">
      <text>
        <r>
          <rPr>
            <sz val="9"/>
            <color indexed="81"/>
            <rFont val="Tahoma"/>
            <family val="2"/>
            <charset val="161"/>
          </rPr>
          <t xml:space="preserve">
Ισχύς Συμβατικού Συστήματος Λαμπτήρα (W/μονάδα).
Περιλαμβάνει την Ισχύ του Φωτιστικού Σώματος και των συστημάτων οδήγησης.</t>
        </r>
      </text>
    </comment>
  </commentList>
</comments>
</file>

<file path=xl/comments3.xml><?xml version="1.0" encoding="utf-8"?>
<comments xmlns="http://schemas.openxmlformats.org/spreadsheetml/2006/main">
  <authors>
    <author>Συντάκτης</author>
  </authors>
  <commentList>
    <comment ref="D3" authorId="0" shapeId="0">
      <text>
        <r>
          <rPr>
            <sz val="9"/>
            <color indexed="81"/>
            <rFont val="Tahoma"/>
            <family val="2"/>
            <charset val="161"/>
          </rPr>
          <t xml:space="preserve">
Επιλογή από αναδυόμενη Λίστα. Η Λίστα μπορεί να επικαιροποιηθεί στο φύλλο εργασίας "Βοήθεια" (Πίνακας 2).</t>
        </r>
      </text>
    </comment>
    <comment ref="I3" authorId="0" shapeId="0">
      <text>
        <r>
          <rPr>
            <sz val="9"/>
            <color indexed="81"/>
            <rFont val="Tahoma"/>
            <family val="2"/>
            <charset val="161"/>
          </rPr>
          <t xml:space="preserve">
Αριθμός σύγχρονων φωτιστικών σωμάτων υπό προμήθεια.
Όσα και τα συμβατικά προς αντικατάσταση φωτιστικά σώματα.</t>
        </r>
      </text>
    </comment>
    <comment ref="J3" authorId="0" shape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 ref="K3" authorId="0" shapeId="0">
      <text>
        <r>
          <rPr>
            <sz val="9"/>
            <color indexed="81"/>
            <rFont val="Tahoma"/>
            <family val="2"/>
            <charset val="161"/>
          </rPr>
          <t xml:space="preserve">
Ενεργειακή απόδοση σύγχρονου φωτιστικού σώματος (lm/w).
Πρέπει να είναι μεγαλύτερη από την ελάχιστη που αναφέρεται στο φύλλο "Γενικά Δεδομένα".</t>
        </r>
      </text>
    </comment>
    <comment ref="L3" authorId="0" shapeId="0">
      <text>
        <r>
          <rPr>
            <sz val="9"/>
            <color indexed="81"/>
            <rFont val="Tahoma"/>
            <family val="2"/>
            <charset val="161"/>
          </rPr>
          <t xml:space="preserve">
Η απόκλιση στα lumen κατά την προσφορά είναι αποδεκτή κατά 5% εκτός εάν ζητηθούν μελέτες χαρακτηριστικών οδών και συμμόρφωση με πρότυπα οπότε αντικαθίστανται βάση των μελετών προσφοράς.</t>
        </r>
      </text>
    </comment>
    <comment ref="M3" authorId="0" shapeId="0">
      <text>
        <r>
          <rPr>
            <sz val="9"/>
            <color indexed="81"/>
            <rFont val="Tahoma"/>
            <family val="2"/>
            <charset val="161"/>
          </rPr>
          <t xml:space="preserve">
Ισχύς Σύγχρονου Συστήματος Φωτιστικών Σωμάτων (W/μονάδα)
Περιλαμβάνει την Ισχύ του Φωτιστικού Σώματος και των συστημάτων οδήγησης.
Υπολογίζεται ως γινόμενο της ενεργειακής απόδοσης με τα lumen του φωστιστικού</t>
        </r>
      </text>
    </comment>
    <comment ref="N3" authorId="0" shapeId="0">
      <text>
        <r>
          <rPr>
            <sz val="9"/>
            <color indexed="81"/>
            <rFont val="Tahoma"/>
            <family val="2"/>
            <charset val="161"/>
          </rPr>
          <t xml:space="preserve">
Τιμή Μονάδας Σύγχρονου Φωτιστικού Σώματος ή Λαμπτήρα με την εγκατάσταση (€/μονάδα)</t>
        </r>
      </text>
    </comment>
    <comment ref="O3" authorId="0" shapeId="0">
      <text>
        <r>
          <rPr>
            <b/>
            <sz val="9"/>
            <color indexed="81"/>
            <rFont val="Tahoma"/>
            <family val="2"/>
            <charset val="161"/>
          </rPr>
          <t xml:space="preserve">
</t>
        </r>
        <r>
          <rPr>
            <sz val="9"/>
            <color indexed="81"/>
            <rFont val="Tahoma"/>
            <family val="2"/>
            <charset val="161"/>
          </rPr>
          <t>Για τα συγκεκριμένα Φωτιστικά Σώματα επιλέγεται αν ελέγχεται ή όχι η έντασή τους.
Σημειώνεται ότι σε περίπτωση που στον ίδιο τύπο Φωτιστικών Σωμάτων λειτουργούν κάποια από αυτά με dimming και κάποια άλλα χωρίς, τότε καταχωρούνται σε δύο διαφορετικές γραμμές.</t>
        </r>
      </text>
    </comment>
  </commentList>
</comments>
</file>

<file path=xl/comments4.xml><?xml version="1.0" encoding="utf-8"?>
<comments xmlns="http://schemas.openxmlformats.org/spreadsheetml/2006/main">
  <authors>
    <author>Συντάκτης</author>
  </authors>
  <commentList>
    <comment ref="G3" authorId="0" shapeId="0">
      <text>
        <r>
          <rPr>
            <b/>
            <sz val="9"/>
            <color indexed="81"/>
            <rFont val="Tahoma"/>
            <family val="2"/>
            <charset val="161"/>
          </rPr>
          <t xml:space="preserve">
</t>
        </r>
        <r>
          <rPr>
            <sz val="9"/>
            <color indexed="81"/>
            <rFont val="Tahoma"/>
            <family val="2"/>
            <charset val="161"/>
          </rPr>
          <t>Υπολογίζεται αυτόματα σύμφωνα με το ποσοστό που έχει δωθεί στο φύλλο εργασίας 'Γενικά Δεδομένα'</t>
        </r>
      </text>
    </comment>
  </commentList>
</comments>
</file>

<file path=xl/comments5.xml><?xml version="1.0" encoding="utf-8"?>
<comments xmlns="http://schemas.openxmlformats.org/spreadsheetml/2006/main">
  <authors>
    <author>Συντάκτης</author>
  </authors>
  <commentList>
    <comment ref="E3" authorId="0" shapeId="0">
      <text>
        <r>
          <rPr>
            <sz val="9"/>
            <color indexed="81"/>
            <rFont val="Tahoma"/>
            <family val="2"/>
            <charset val="161"/>
          </rPr>
          <t xml:space="preserve">
Υποσύνολο Ισχύος Συμβατικού Συστήματος (Watt)
Συμπεριλαμβάνονται τα Φωτιστικά Σώματα που δεν είναι σε λειτουργία.</t>
        </r>
      </text>
    </comment>
    <comment ref="F3" authorId="0" shapeId="0">
      <text>
        <r>
          <rPr>
            <sz val="9"/>
            <color indexed="81"/>
            <rFont val="Tahoma"/>
            <family val="2"/>
            <charset val="161"/>
          </rPr>
          <t xml:space="preserve">
Υποσύνολο Ισχύος Σύγχρονου Συστήματος (Watt)</t>
        </r>
      </text>
    </comment>
    <comment ref="G3" authorId="0" shapeId="0">
      <text>
        <r>
          <rPr>
            <sz val="9"/>
            <color indexed="81"/>
            <rFont val="Tahoma"/>
            <family val="2"/>
            <charset val="161"/>
          </rPr>
          <t xml:space="preserve">
Κατανάλωση Ηλεκτρικής Ενέργειας Συμβατικών Φωτιστικών Σωμάτων (kWh/Έτος)
Λαμβάνεται υπόψη η κατανάλωση των Φωτιστικών Σωμάτων που είναι σε λειτουργία.</t>
        </r>
      </text>
    </comment>
    <comment ref="H3" authorId="0" shapeId="0">
      <text>
        <r>
          <rPr>
            <sz val="9"/>
            <color indexed="81"/>
            <rFont val="Tahoma"/>
            <family val="2"/>
            <charset val="161"/>
          </rPr>
          <t xml:space="preserve">
Κατανάλωση Ηλεκτρικής Ενέργειας Σύγχρονων Φωτιστικών Σωμάτων (kWh/Έτος).
</t>
        </r>
      </text>
    </comment>
    <comment ref="I3" authorId="0" shapeId="0">
      <text>
        <r>
          <rPr>
            <sz val="9"/>
            <color indexed="81"/>
            <rFont val="Tahoma"/>
            <family val="2"/>
            <charset val="161"/>
          </rPr>
          <t xml:space="preserve">
Κόστος απομάκρυνσης των Συμβατικών Φωτιστικών Σωμάτων (€)</t>
        </r>
      </text>
    </comment>
    <comment ref="J3" authorId="0" shapeId="0">
      <text>
        <r>
          <rPr>
            <sz val="9"/>
            <color indexed="81"/>
            <rFont val="Tahoma"/>
            <family val="2"/>
            <charset val="161"/>
          </rPr>
          <t xml:space="preserve">
Περιλαμβάνει την προμήθεια και εγκατάσταση και αφορά τα Νέα Φωτιστικά Σώματα και εκείνα που θα αποθηκευτούν. (€)</t>
        </r>
      </text>
    </comment>
    <comment ref="L3" authorId="0" shapeId="0">
      <text>
        <r>
          <rPr>
            <sz val="9"/>
            <color indexed="81"/>
            <rFont val="Tahoma"/>
            <family val="2"/>
            <charset val="161"/>
          </rPr>
          <t xml:space="preserve">
Περιλαμβάνει την προμήθεια και εγκατάσταση και αφορά τους Νέους βραχίονες και εκείνους που θα αποθηκευτούν. (€)</t>
        </r>
      </text>
    </comment>
  </commentList>
</comments>
</file>

<file path=xl/comments6.xml><?xml version="1.0" encoding="utf-8"?>
<comments xmlns="http://schemas.openxmlformats.org/spreadsheetml/2006/main">
  <authors>
    <author>Συντάκτης</author>
  </authors>
  <commentList>
    <comment ref="J4" authorId="0" shapeId="0">
      <text>
        <r>
          <rPr>
            <sz val="9"/>
            <color indexed="81"/>
            <rFont val="Tahoma"/>
            <family val="2"/>
            <charset val="161"/>
          </rPr>
          <t xml:space="preserve">Η τιμή στην στήλη εισέρχεται από το φύλλο "Δάνειο", Στήλη - Ποσό Πληρωμής
</t>
        </r>
      </text>
    </comment>
    <comment ref="K4" authorId="0" shapeId="0">
      <text>
        <r>
          <rPr>
            <sz val="9"/>
            <color indexed="81"/>
            <rFont val="Tahoma"/>
            <family val="2"/>
            <charset val="161"/>
          </rPr>
          <t xml:space="preserve">Η τιμή στη στήλη αποτελεί γινόμενο της Ετήσιας Κατανάλωσης Ενέργειας από το φύλλο "Αποτελέσματα" με το κόστος της ενέργειας από το φύλλο "Γενικά Δεδομένα".
</t>
        </r>
      </text>
    </comment>
  </commentList>
</comments>
</file>

<file path=xl/sharedStrings.xml><?xml version="1.0" encoding="utf-8"?>
<sst xmlns="http://schemas.openxmlformats.org/spreadsheetml/2006/main" count="395" uniqueCount="303">
  <si>
    <t>Δικαιούχος:</t>
  </si>
  <si>
    <t>Περιγραφή Έργου:</t>
  </si>
  <si>
    <t>Κωδικός Έργου:</t>
  </si>
  <si>
    <t>1. ΓΕΝΙΚΑ ΣΤΟΙΧΕΙΑ ΕΡΓΟΥ</t>
  </si>
  <si>
    <t>Κελί Εισαγωγής Δεδομένων</t>
  </si>
  <si>
    <t>Ημ/νία Υποβολής Αιτήματος Χρηματοδότησης στο ΤΠΔ:</t>
  </si>
  <si>
    <t>Τίτλος Έργου:</t>
  </si>
  <si>
    <t>2. ΦΟΡΟΙ - ΚΟΣΤΟΣ ΗΛΕΚΤΡΙΚΗΣ ΕΝΕΡΓΕΙΑΣ - ΛΕΙΤΟΥΡΓΙΑ ΦΩΤΙΣΤΙΚΩΝ - ΚΛΠ</t>
  </si>
  <si>
    <t>3. ΤΙΜΕΣ ΜΟΝΑΔΑΣ - ΕΚΠΤΩΣΕΙΣ ΠΡΟΜΗΘΕΙΑΣ - ΧΡΟΝΟΣ ΕΓΚΑΤΑΣΤΑΣΗΣ</t>
  </si>
  <si>
    <t>Φόρος Προστιθέμενης Αξίας, ΦΠΑ (%):</t>
  </si>
  <si>
    <t>Κόστος Ηλεκτρικής Ενέργειας (€/kWh):</t>
  </si>
  <si>
    <t>Ετήσια Μεταβολή στο Κόστος Ηλεκτρικής Ενέργειας (%):</t>
  </si>
  <si>
    <t>Κόστος αφαίρεσης βραχίονα από τοποθετημένο ιστό με ή χωρίς φωτιστικό σώμα (€/Μονάδα):</t>
  </si>
  <si>
    <t>Κόστος αφαίρεσης Φωτιστικών Σωμάτων από βραχίονα ή από την κορυφή εγκατεστημένου ιστού (€/Μονάδα):</t>
  </si>
  <si>
    <t>4. ΕΚΤΙΜΗΣΗ ΥΛΙΚΩΝ ΣΕ ΑΠΟΘΗΚΗ</t>
  </si>
  <si>
    <t>Ποσοστό προμήθειας φωτιστικών σωμάτων για αποθήκευση (%):</t>
  </si>
  <si>
    <t>Ποσοστό προμήθειας βραχιόνων για αποθήκευση (%):</t>
  </si>
  <si>
    <t>Ώρες Λειτουργίας Φωτιστικών Σωμάτων και Λαμπτήρων ανά 24ωρο:</t>
  </si>
  <si>
    <t>Α/Α</t>
  </si>
  <si>
    <r>
      <t>CO</t>
    </r>
    <r>
      <rPr>
        <b/>
        <vertAlign val="subscript"/>
        <sz val="11"/>
        <color theme="1"/>
        <rFont val="Calibri"/>
        <family val="2"/>
        <charset val="161"/>
        <scheme val="minor"/>
      </rPr>
      <t>2</t>
    </r>
  </si>
  <si>
    <t>Τεμάχια</t>
  </si>
  <si>
    <t>Ισχύς Λαμπτήρα</t>
  </si>
  <si>
    <t>Ισχύς Συστήματος</t>
  </si>
  <si>
    <t>Συντομο-γραφία</t>
  </si>
  <si>
    <t>Συμβατική τεχνολογία</t>
  </si>
  <si>
    <t>Νέος είδος τεχνολογίας Φ/Σ &amp; Λαμπτήρων</t>
  </si>
  <si>
    <t>Τιμή Μονάδος</t>
  </si>
  <si>
    <t>Σύμφωνα με το καθεστώς ΦΠΑ στο οποίο υπόκειται ο Δικαιούχος.</t>
  </si>
  <si>
    <t>Από</t>
  </si>
  <si>
    <t>Σε</t>
  </si>
  <si>
    <t>Α. ΣΥΜΒΑΤΙΚΑ ΦΩΤΙΣΤΙΚΑ ΣΩΜΑΤΑ</t>
  </si>
  <si>
    <t xml:space="preserve">Αριθμός Φωτιστικών Σωμάτων </t>
  </si>
  <si>
    <t>Εγκατεστημένη Ισχύς Φωτιστικών Σωμάτων  (kW)</t>
  </si>
  <si>
    <t>Κατανάλωση Ηλεκτρικής Ενέργειας (kWh/Έτος)</t>
  </si>
  <si>
    <t>Ετήσια Δαπάνη Ηλεκτρικής Ενέργειας (€/Έτος)</t>
  </si>
  <si>
    <t>Έκδοση 1.2</t>
  </si>
  <si>
    <t>Β. ΣΥΓΧΡΟΝΑ ΦΩΤΙΣΤΙΚΑ ΣΩΜΑΤΑ</t>
  </si>
  <si>
    <t>Τεμάχια για αποθήκευση</t>
  </si>
  <si>
    <t>Κόστος Νέων ΦΣ</t>
  </si>
  <si>
    <t>Ισχύς Συμβατικού
Συστήματος</t>
  </si>
  <si>
    <t>Ισχύς
Νέου
Συστήματος</t>
  </si>
  <si>
    <t>Κατανάλωση
Συμβατικού
Συστήματος</t>
  </si>
  <si>
    <t>Κατανάλωση
Νέου
Συστήματος</t>
  </si>
  <si>
    <t>Κόστος Απομάκρ. Συμβατικών ΦΣ</t>
  </si>
  <si>
    <t>Αφαίρεση Φωτιστικών Σωμάτων (€)</t>
  </si>
  <si>
    <t>Αφαίρεση βραχιόνων (€)</t>
  </si>
  <si>
    <t>Σύνολο Δαπάνης χωρίς ΦΠΑ (€)</t>
  </si>
  <si>
    <t>Σύνολο Δαπάνης με ΦΠΑ (€)</t>
  </si>
  <si>
    <t xml:space="preserve">Δ. ΕΚΤΙΜΗΣΗ Π/Υ ΠΡΟΜΗΘΕΙΑΣ </t>
  </si>
  <si>
    <t>Δαπάνη Προμήθειας &amp; Εγκατάστασης Φωτιστικών Σωμάτων (€)</t>
  </si>
  <si>
    <t>Δαπάνη Προμήθειας &amp; Εγκατάστασης Βραχιόνων (€)</t>
  </si>
  <si>
    <t xml:space="preserve">E. ΕΞΟΙΚΟΝΟΜΗΣΗ ΕΝΕΡΓΕΙΑΣ - ΜΕΙΩΣΗ ΔΑΠΑΝΗΣ </t>
  </si>
  <si>
    <t>Μείωση Εγκατεστημένης Ισχύος (kW)</t>
  </si>
  <si>
    <t>Ετήσια Εξοικονόμηση Ηλεκτρικής Ενέργειας από την αντικατάσταση των φωτιστικών σωμάτων (kWh/Έτος)</t>
  </si>
  <si>
    <t>Ετήσια Μείωση Δαπάνης Οδοφωτισμού (€/Έτος)</t>
  </si>
  <si>
    <t>Συνολικό Κόστος Επένδυσης</t>
  </si>
  <si>
    <t>Ρύποι</t>
  </si>
  <si>
    <t>Συμβατικό Σύστημα</t>
  </si>
  <si>
    <t>Νέο Σύστημα</t>
  </si>
  <si>
    <t>Όφελος</t>
  </si>
  <si>
    <t>Ημερομηνία Εκτύπωσης:</t>
  </si>
  <si>
    <t>Ημερομηνία Συμπλήρωσης:</t>
  </si>
  <si>
    <t>Αφορά προμήθεια, μεταφορά και διανομή, χωρίς ΦΠΑ. (Σταθερή τιμή)</t>
  </si>
  <si>
    <t>Μέσος καθαρός χρόνος λειτουργίας Φωτιστικών Σωμάτων ανά 24ωρο.(Σταθερή τιμή)</t>
  </si>
  <si>
    <t xml:space="preserve"> Συνοπτική περιγραφή</t>
  </si>
  <si>
    <t>Άρθρο Αναθεώρησης</t>
  </si>
  <si>
    <t>Μονάδα</t>
  </si>
  <si>
    <t>Τιμή Μον. (€)</t>
  </si>
  <si>
    <t>60.10.40.01</t>
  </si>
  <si>
    <t xml:space="preserve"> ΗΛΜ−103</t>
  </si>
  <si>
    <t xml:space="preserve"> τεμ.</t>
  </si>
  <si>
    <t>Τιμή Μονάδας προμήθειας και εγκατάστασης βραχίονα  (€/Μονάδα):</t>
  </si>
  <si>
    <t>60.10.40.03</t>
  </si>
  <si>
    <t>60.10.40.05</t>
  </si>
  <si>
    <t>60.10.40.07</t>
  </si>
  <si>
    <t>60.10.40.09</t>
  </si>
  <si>
    <t>Dimming</t>
  </si>
  <si>
    <t>ΑΠΟΤΕΛΕΣΜΑΣΤΑ</t>
  </si>
  <si>
    <t>Βραχίονες προς αντικατάσταση</t>
  </si>
  <si>
    <t>Τεμάχια Νέων Φωτιστικών Σωμάτων</t>
  </si>
  <si>
    <t>Νέα Τεχνολογία</t>
  </si>
  <si>
    <t>Βραχίονες προς αποθήκευση</t>
  </si>
  <si>
    <t>Κόστος Αφαίρεσης Βραχίονα</t>
  </si>
  <si>
    <t>Κόστος για Νέους βραχίονες</t>
  </si>
  <si>
    <t>Συντηρητική μεσοπρόθεσμη εκτίμηση. (Σταθερή τιμή)</t>
  </si>
  <si>
    <t>60.10.40.07Ν</t>
  </si>
  <si>
    <t>Άλλο</t>
  </si>
  <si>
    <t>ΥΠΟΛΟΓΙΣΜΟΙ ΓΙΑ ΦΩΤΙΣΤΙΚΑ ΣΩΜΑΤΑ ΚΑΙ ΒΡΑΧΙΟΝΕΣ</t>
  </si>
  <si>
    <t>Ποσοστό Κάλυψης Εξυπηρέτησης Οφειλών</t>
  </si>
  <si>
    <t>Προεξοφλητικό επιτόκιο</t>
  </si>
  <si>
    <t>Σταθμισμένο κόστος έργου:</t>
  </si>
  <si>
    <t>Δεδομένα Δανείου</t>
  </si>
  <si>
    <t>Ποσό Δανείου</t>
  </si>
  <si>
    <t>Ετήσιο Επιτόκιο</t>
  </si>
  <si>
    <t>Διάρκεια του Δανείου σε Χρόνια (0-10)</t>
  </si>
  <si>
    <t>Πρώτη Ημερομηνία Πληρωμής</t>
  </si>
  <si>
    <t>Συχνότητα Πληρωμών</t>
  </si>
  <si>
    <t>Ετήσια</t>
  </si>
  <si>
    <t>Σύνοψη</t>
  </si>
  <si>
    <t>Αριθμός Δόσεων</t>
  </si>
  <si>
    <t>Επιτόκιο (ανα περίοδο)</t>
  </si>
  <si>
    <t>Ποσό πληρωμής (ανα περίοδο)</t>
  </si>
  <si>
    <t>Σύνολο Τόκων</t>
  </si>
  <si>
    <t>Σύνολο Πληρωμών</t>
  </si>
  <si>
    <t>Ημερομηνία Πληρωμής</t>
  </si>
  <si>
    <t>Ποσό Πληρωμής</t>
  </si>
  <si>
    <t>Τόκοι</t>
  </si>
  <si>
    <t>Κεφάλαιο</t>
  </si>
  <si>
    <t>Υπόλοιπο</t>
  </si>
  <si>
    <t xml:space="preserve">Ετήσια Κατανάλωσης Ενέργειας Δικτύου Φωτισμού με LED </t>
  </si>
  <si>
    <t xml:space="preserve">Συνολικό Κόστος Ετήσιας Κατανάλωσης Ενέργειας Δικτύου Φωτισμού με LED </t>
  </si>
  <si>
    <t>Ετήσιο Κόστος Συντήρησης Δικτύου Φωτισμού με Συμβατικούς Λαμπτήρες</t>
  </si>
  <si>
    <t>Ετήσιο Κόστος Συντήρησης Δικτύου Φωτισμού με LED</t>
  </si>
  <si>
    <t>Συνολικό Κόστος Επένδυσης + ΦΠΑ</t>
  </si>
  <si>
    <t>Δάνειο</t>
  </si>
  <si>
    <t>Ιδία κεφάλαια</t>
  </si>
  <si>
    <t>IRR Έργου</t>
  </si>
  <si>
    <t>€/kWh</t>
  </si>
  <si>
    <t xml:space="preserve">Ετήσια Κατανάλωση Ενέργειας Δικτύου Φωτισμού με Συμβατικούς Λαμπτήρες </t>
  </si>
  <si>
    <t xml:space="preserve">Συνολικό Κόστος Ετήσιας Κατανάλωσης Ενέργειας Δικτύου Φωτισμού με Συμβατικούς Λαμπτήρες </t>
  </si>
  <si>
    <r>
      <t xml:space="preserve">Εκλυόμενοι ρύποι ανά μονάδα ενέργειας  </t>
    </r>
    <r>
      <rPr>
        <sz val="11"/>
        <rFont val="Calibri"/>
        <family val="2"/>
        <charset val="161"/>
        <scheme val="minor"/>
      </rPr>
      <t>(gr CO</t>
    </r>
    <r>
      <rPr>
        <vertAlign val="subscript"/>
        <sz val="11"/>
        <rFont val="Calibri"/>
        <family val="2"/>
        <charset val="161"/>
        <scheme val="minor"/>
      </rPr>
      <t>2</t>
    </r>
    <r>
      <rPr>
        <sz val="11"/>
        <rFont val="Calibri"/>
        <family val="2"/>
        <charset val="161"/>
        <scheme val="minor"/>
      </rPr>
      <t>/kWh)</t>
    </r>
  </si>
  <si>
    <t xml:space="preserve">5. ΕΚΠΟΜΠΕΣ ΡΥΠΩΝ ΠΑΡΑΓΩΓΗΣ ΗΛΕΚΤΡΙΚΗΣ ΕΝΕΡΓΕΙΑΣ </t>
  </si>
  <si>
    <t>Τεμάχια σε λειτουργία</t>
  </si>
  <si>
    <t>Γ. ΕΚΤΙΜΗΣΗ Π/Υ ΑΠΕΓΚΑΤΑΣΤΑΣΗΣ ΣΥΜΒΑΤΙΚΟΥ ΕΞΟΠΛΙΣΜΟΥ</t>
  </si>
  <si>
    <t>Ποστοστό Μείωσης Εκλυόμενοι Ρύποι:</t>
  </si>
  <si>
    <t xml:space="preserve">*Η διάρκεια ζωής των φωτιστικών σωμάτων λαμβάνεται ίση με 15 έτη σύμφωνα με την αρ. πρωτ. 46/7094/30.03.2011 Απόφαση του Υπουργείου Περιβάλλοντος και Ενέργειας.
</t>
  </si>
  <si>
    <t>Έτος*</t>
  </si>
  <si>
    <t xml:space="preserve">6. ΟΙΚΟΝΟΜΙΚΑ ΔΕΔΟΜΕΝΑ </t>
  </si>
  <si>
    <t>Διάρκεια του Δανείου σε Χρόνια (0-10):</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</si>
  <si>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</si>
  <si>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t>ΣΤ. ΠΕΡΙΒΑΛΛΟΝΤΙΚΟ ΟΦΕΛΟΣ (Τόνοι/ kWh)</t>
  </si>
  <si>
    <t>Ζ. ΔΕΙΚΤΕΣ ΟΙΚΟΝΟΜΙΚΟΤΗΤΑΣ</t>
  </si>
  <si>
    <t>Βραχίονες προς αποθήκευση για άμεση αποκατάσταση ζημιάς/βλάβης.</t>
  </si>
  <si>
    <t>Ετήριο συνολικό κόστος Νέου συστήματος [K+M+N] (€)
[3]</t>
  </si>
  <si>
    <t>Ετήσια κόστη Κεφαλαίου (€)
[5]</t>
  </si>
  <si>
    <t>Ετήσιο Κόστος Λειτουργίας LED (€)
[6]</t>
  </si>
  <si>
    <t>I</t>
  </si>
  <si>
    <t>II</t>
  </si>
  <si>
    <t>III</t>
  </si>
  <si>
    <t>IV</t>
  </si>
  <si>
    <t>V</t>
  </si>
  <si>
    <t>VI</t>
  </si>
  <si>
    <t>VII</t>
  </si>
  <si>
    <t>VIII</t>
  </si>
  <si>
    <t>X</t>
  </si>
  <si>
    <t>IX</t>
  </si>
  <si>
    <t>XI</t>
  </si>
  <si>
    <t>XII</t>
  </si>
  <si>
    <t>ΠΕΡΙΓΡΑΦΗ</t>
  </si>
  <si>
    <t>ΤΙΜΗ</t>
  </si>
  <si>
    <t>Ετήσιες Ταμειακές Ροές (αποφευγόμενα κόστη)  
(€)
[2] = [4-3]</t>
  </si>
  <si>
    <t>Ενεργειακό όφελος σε (kWh)
[1] = [ΙΙ - ΙΙΙ]</t>
  </si>
  <si>
    <t>Ετήσιο συνολικό κόστος συμβατικού συστήματος (€)
[4]=[9]</t>
  </si>
  <si>
    <t>Ποσοστό Κάλυψης Εξυπηρέτησης Οφειλών 
[10]=[4-7]/[5]</t>
  </si>
  <si>
    <t>**1 έτος μεταβατική περίοδος 0 κόστος συμβατικού 0 κόστος νέου</t>
  </si>
  <si>
    <t>Η διάρκεια ζωής των φωτιστικών σωμάτων λαμβάνεται ίση με 15 έτη σύμφωνα με την αρ. πρωτ. 46/7094/30.03.2011 Απόφαση του Υπουργείου Περιβάλλοντος και Ενέργειας.</t>
  </si>
  <si>
    <r>
      <t>Ετήσιο Κόστος Λειτουργίας LED (</t>
    </r>
    <r>
      <rPr>
        <sz val="10"/>
        <rFont val="Calibri"/>
        <family val="2"/>
        <charset val="161"/>
        <scheme val="minor"/>
      </rPr>
      <t>Συντήρηση</t>
    </r>
    <r>
      <rPr>
        <sz val="10"/>
        <color theme="1"/>
        <rFont val="Calibri"/>
        <family val="2"/>
        <charset val="161"/>
        <scheme val="minor"/>
      </rPr>
      <t>+Ενεργειακά κόστη) (€)
[7]=[6]</t>
    </r>
  </si>
  <si>
    <t>**O Πίνακας συμπληρώνεται ΠΡΙΝ τη συμπλήρωση του Φύλλου "Νέα ΦΣ"</t>
  </si>
  <si>
    <t>Ο χρήστης δεν εισάγει καμία τιμή. Συμπληρώνονται αυτόματα.</t>
  </si>
  <si>
    <t>7.  ΕΛΑΧΙΣΤΗ ΕΝΕΡΓΕΙΑΚΗ ΑΠΟΔΟΣ ΦΩΤΙΣΤΙΚΩΝ</t>
  </si>
  <si>
    <t>Ελάχιστη ενεργειακή απόδοση φωτιστικού (lm/w)</t>
  </si>
  <si>
    <t>Ελάχιστη απόδοση διόδου led (lm/w)</t>
  </si>
  <si>
    <t xml:space="preserve">Lumen φωτιστικού </t>
  </si>
  <si>
    <t>Μέγιστη αποδεκτή Ισχύς Συστήματος</t>
  </si>
  <si>
    <t>Ιδία κεφάλαια (€)
[8]=VIII</t>
  </si>
  <si>
    <t>ΦΠΑ (€)</t>
  </si>
  <si>
    <t>ΦΠΑ(€)</t>
  </si>
  <si>
    <t>NPV Έργου</t>
  </si>
  <si>
    <t>XIII</t>
  </si>
  <si>
    <t>Στο πρόγραμμα αυτό υπολογίζεται η Ετήσια Εξοικονόμηση Ηλεκτρικής Ενέργειας και το Περιβαλλοντικό Όφελος από την αντικατάσταση συμβατικών φωτιστικών σωμάτων με νέας τεχνολογίας καθώς και οι δείκτες οικονομικότητας. 
ΚΑΠΕ 2016</t>
  </si>
  <si>
    <t>Σύμφωνα με το ΦΕΚ 407/Β/2010.</t>
  </si>
  <si>
    <t>Σύμφωνα με το ΦΕΚ 363Β/2013 όπως τροποποιείται και ισχύει. (Σταθερή τιμή)</t>
  </si>
  <si>
    <t>Σύμφωνα με ΦΕΚ 3347/2014 όπως τροποποιείται και ισχύει. (Σταθερή τιμή)</t>
  </si>
  <si>
    <t xml:space="preserve"> (Σταθερή τιμή)</t>
  </si>
  <si>
    <t>Υφιστάμενη τεχνολογία Φ/Σ &amp; Λαμπτήρων</t>
  </si>
  <si>
    <t>8. ΣΥΜΒΑΤΙΚΗ ΤΕΧΝΟΛΟΓΙΑ ΠΡΟΣ ΑΝΤΙΚΑΤΑΣΤΑΣΗ - ΠΟΣΟΤΙΚΑ ΔΕΔΟΜΕΝΑ ΓΙΑ ΤΗΝ ΥΦΙΣΤΑΜΕΝΗ ΚΑΤΑΣΤΑΣΗ</t>
  </si>
  <si>
    <t>9. ΝΕΑ ΤΕΧΝΟΛΟΓΙΑ ΠΡΟΣ ΕΦΑΡΜΟΗ - ΠΟΣΟΤΙΚΑ ΔΕΔΟΜΕΝΑ</t>
  </si>
  <si>
    <t>10. ΠΟΣΟΤΙΚΑ ΔΕΔΟΜΕΝΑ ΓΙΑ ΒΡΑΧΙΟΝΕΣ</t>
  </si>
  <si>
    <t>*O Πίνακας συστήνεται να συμπληρώνεται ΠΡΙΝ τη συμπλήρωση του Φύλλου "Συμβατικά ΦΣ"</t>
  </si>
  <si>
    <t>Τα κελιά εισαγωγής δεδομένων έχουν χρώμα μπλε.</t>
  </si>
  <si>
    <r>
      <rPr>
        <b/>
        <sz val="9"/>
        <color theme="1"/>
        <rFont val="Calibri"/>
        <family val="2"/>
        <charset val="161"/>
        <scheme val="minor"/>
      </rPr>
      <t xml:space="preserve">Πίνακας 1* 
</t>
    </r>
    <r>
      <rPr>
        <sz val="9"/>
        <color theme="1"/>
        <rFont val="Calibri"/>
        <family val="2"/>
        <charset val="161"/>
        <scheme val="minor"/>
      </rPr>
      <t>Φωτιστικά σώματα οδοφωτισμού τύπου βραχίονα Συμβατικής Τεχνολογίας</t>
    </r>
  </si>
  <si>
    <r>
      <rPr>
        <b/>
        <sz val="9"/>
        <color theme="1"/>
        <rFont val="Calibri"/>
        <family val="2"/>
        <charset val="161"/>
        <scheme val="minor"/>
      </rPr>
      <t>IRR Έργου</t>
    </r>
    <r>
      <rPr>
        <sz val="9"/>
        <color theme="1"/>
        <rFont val="Calibri"/>
        <family val="2"/>
        <charset val="161"/>
        <scheme val="minor"/>
      </rPr>
      <t xml:space="preserve">: Ο Εσωτερικός Βαθμός Απόδοσης είναι ένας δείκτης αποτίμησης της οικονομικής απόδοσης μιας επένδυσης, ο οποίος ισοδυναμεί με την τιμή του προεξοφλητικού επιτοκίου που μηδενίζει την καθαρά παρούσα αξία της επένδυσης. </t>
    </r>
  </si>
  <si>
    <r>
      <rPr>
        <b/>
        <sz val="9"/>
        <color theme="1"/>
        <rFont val="Calibri"/>
        <family val="2"/>
        <charset val="161"/>
        <scheme val="minor"/>
      </rPr>
      <t>NPV Έργου</t>
    </r>
    <r>
      <rPr>
        <sz val="9"/>
        <color theme="1"/>
        <rFont val="Calibri"/>
        <family val="2"/>
        <charset val="161"/>
        <scheme val="minor"/>
      </rPr>
      <t>: Η Καθαρή Παρούσα Αξία είναι ένας δείκτης αποτίμησης της οικονομικής απόδοσης μιας επένδυσης, ο οποίος ισούται με το άθροισμα των παρουσών αξιών όλων των εισερχόμενων και εξερχόμενων χρηματορροών της επένδυσης για μια συγκεκριμένη χρονική περίοδο.</t>
    </r>
  </si>
  <si>
    <r>
      <rPr>
        <b/>
        <sz val="9"/>
        <color theme="1"/>
        <rFont val="Calibri"/>
        <family val="2"/>
        <charset val="161"/>
        <scheme val="minor"/>
      </rPr>
      <t>Σταθμισμένο κόστος έργου</t>
    </r>
    <r>
      <rPr>
        <sz val="9"/>
        <color theme="1"/>
        <rFont val="Calibri"/>
        <family val="2"/>
        <charset val="161"/>
        <scheme val="minor"/>
      </rPr>
      <t xml:space="preserve">: Ισούται με τον λόγο του αθροίσματος της καθαρής παρούσας αξίας του κόστους επένδυσης και του ετήσιου κόστους λειτουργίας μετά την υλοποίηση της παρέμβασης προς το άθροισμα της εξοικονομούμενης ενέργειας (εκφρασμένο είτε ως Καθαρή Παρούσα Αξία είτε ως απλό άθροισμα).  </t>
    </r>
  </si>
  <si>
    <r>
      <rPr>
        <b/>
        <sz val="9"/>
        <color theme="1"/>
        <rFont val="Calibri"/>
        <family val="2"/>
        <charset val="161"/>
        <scheme val="minor"/>
      </rPr>
      <t>Ποσοστό Κάλυψης Εξυπηρέτησης Οφειλών</t>
    </r>
    <r>
      <rPr>
        <sz val="9"/>
        <color theme="1"/>
        <rFont val="Calibri"/>
        <family val="2"/>
        <charset val="161"/>
        <scheme val="minor"/>
      </rPr>
      <t xml:space="preserve">: Ισούται με τον λόγο του εξοικονομούμενου κόστους συντήρησης και κατανάλωσης ενέργειας λόγω της υλοποίησης της παρέμβασης προς το κόστος κεφαλαίου σε ετήσια βάση.  </t>
    </r>
  </si>
  <si>
    <t>Φύλλο εργασίας "Περιγραφή Έργου"</t>
  </si>
  <si>
    <t>Εισάγονται βασικά στοιχεία του υπό μελέτη έργου. Συστήνεται να δοθεί προσοχή στους περιορισμούς ως προς το μήκος του κειμένου που εισάγεται, ώστε να διατηρηθεί μία ενιαία αντιμετώπιση από όλους όσους χρησιμοποιούν το εργαλείο. Οι περιορισμοί εισήχθηκαν με σκοπό την καλύτερη μελλοντική συγκεντρωτική απεικόνιση των υποβληθέντων στοιχείων.</t>
  </si>
  <si>
    <t>Φύλλο εργασίας "Γενικά Δεδομένα"</t>
  </si>
  <si>
    <t>Φύλλο εργασίας "Συμβατικά ΦΣ"</t>
  </si>
  <si>
    <r>
      <t xml:space="preserve">Εισάγονται δεδομένα σχετικά με τα Συμβατικά Φωτιστικά Σώματα ανά κατηγορία και συγκεκριμένα:
• Η Υφιστάμενη τεχνολογία Φ/Σ &amp; Λαμπτήρων.
</t>
    </r>
    <r>
      <rPr>
        <i/>
        <sz val="9"/>
        <color theme="1"/>
        <rFont val="Calibri"/>
        <family val="2"/>
        <charset val="161"/>
        <scheme val="minor"/>
      </rPr>
      <t xml:space="preserve">Επιλέγεται από αναδυόμενη λίστα την περιγραφή της υφιστάμενης τεχνολογίας Φωτιστικών Σωμάτων και Λαμπτήρων που πρόκειται να αντικατασταθούν. Για παράδειγμα «Φωτιστικά σώματα οδοφωτισμού τύπου βραχίονα με λαμπτήρα νατρίου υψηλής πίεσης (NaLP)» ή «Φωτιστικά σώματα οδοφωτισμού τύπου βραχίονα με λαμπτήρα νατρίου υψηλής πίεσης (NaLP)».
Στο φύλλο εργασίας «Βοήθεια» (βλέπε παρακάτω Πίνακα 1), υπάρχει προσυμπληρωμένη λίστα που περιέχει τα βασικά Φωτιστικά Σώματα Συμβατικής Τεχνολογίας.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Τεμάχια
</t>
    </r>
    <r>
      <rPr>
        <i/>
        <sz val="9"/>
        <color theme="1"/>
        <rFont val="Calibri"/>
        <family val="2"/>
        <charset val="161"/>
        <scheme val="minor"/>
      </rPr>
      <t>Καταχωρείται ο αριθμός των Φωτιστικών Σωμάτων προς αντικατάσταση για τη συγκεκριμένη κατηγορία.</t>
    </r>
    <r>
      <rPr>
        <sz val="9"/>
        <color theme="1"/>
        <rFont val="Calibri"/>
        <family val="2"/>
        <charset val="161"/>
        <scheme val="minor"/>
      </rPr>
      <t xml:space="preserve">
• Ισχύς Λαμπτήρα
</t>
    </r>
    <r>
      <rPr>
        <i/>
        <sz val="9"/>
        <color theme="1"/>
        <rFont val="Calibri"/>
        <family val="2"/>
        <charset val="161"/>
        <scheme val="minor"/>
      </rPr>
      <t>Καταχωρείται η ισχύς του συμβατικού Λαμπτήρ για το προς αντικατάσταση Φωτιστικό Σώμα.</t>
    </r>
    <r>
      <rPr>
        <sz val="9"/>
        <color theme="1"/>
        <rFont val="Calibri"/>
        <family val="2"/>
        <charset val="161"/>
        <scheme val="minor"/>
      </rPr>
      <t xml:space="preserve">
• Ισχύς Συστήματος
</t>
    </r>
    <r>
      <rPr>
        <i/>
        <sz val="9"/>
        <color theme="1"/>
        <rFont val="Calibri"/>
        <family val="2"/>
        <charset val="161"/>
        <scheme val="minor"/>
      </rPr>
      <t xml:space="preserve">Καταχωρείται η ισχύς του συμβατικού Συστήματος. Περιλαμβάνει την Ισχύ του Φωτιστικού Σώματος και των συστημάτων οδήγησης.
• </t>
    </r>
    <r>
      <rPr>
        <sz val="9"/>
        <color theme="1"/>
        <rFont val="Calibri"/>
        <family val="2"/>
        <charset val="161"/>
        <scheme val="minor"/>
      </rPr>
      <t xml:space="preserve">Τεμάχια εκτός λειτουργία
</t>
    </r>
    <r>
      <rPr>
        <i/>
        <sz val="9"/>
        <color theme="1"/>
        <rFont val="Calibri"/>
        <family val="2"/>
        <charset val="161"/>
        <scheme val="minor"/>
      </rPr>
      <t>Καταχωρείται των αριθμό των Φωτιστικών Σωμάτων που δεν είναι σε λειτουργία για εύλογο χρονικό διάστημα και η κατάσταση αυτή επηρεάζει το οικονομικό σκέλος του υπό μελέτη έργου.
Επισημαίνεται ότι για να είναι ευδιάκριτη και αναλυτική η περιγραφή της επιχειρούμενης παρέμβασης επιβάλλεται η κατηγοριοποίηση της υφιστάμενης κατάστασης να ομαδοποιηθεί λαμβάνοντας υπόψη τα παρακάτω:
1. Είδος Φωτιστικών Σωμάτων προς αντικατάσταση
2. Ισχύς Φωτιστικών Σωμάτων προς αντικατάσταση
3. Δυνατότητα dimming των νέων Φωτιστικών Σωμάτων που θα αντικαταστήσει τα παραπάνω.</t>
    </r>
  </si>
  <si>
    <t>Φύλλο εργασίας "Νέα ΦΣ"</t>
  </si>
  <si>
    <t>Ελάχιστη απόδοση Φωτιστικού (lm/w)</t>
  </si>
  <si>
    <r>
      <t xml:space="preserve">Εισάγονται δεδομένα σχετικά με τα Νέας Τεχνολογίας Φωτιστικά Σώματα και Λαμπτήρες ανά κατηγορία Συμβατικών Φωτιστικών Σωμάτων και Λαμπτήρων που αντικαθίστανται αντίστοιχα και συγκεκριμένα:
• Νέος είδος τεχνολογίας Φ/Σ &amp; Λαμπτήρων
</t>
    </r>
    <r>
      <rPr>
        <i/>
        <sz val="9"/>
        <color theme="1"/>
        <rFont val="Calibri"/>
        <family val="2"/>
        <charset val="161"/>
        <scheme val="minor"/>
      </rPr>
      <t xml:space="preserve">Επιλέγεται από αναδυόμενη λίστα, την περιγραφή της Νέας Τεχνολογίας Φωτιστικών Σωμάτων και Λαμπτήρων που πρόκειται να αντικαταστήσουν τα αντίστοιχα Συμβατικά. Για παράδειγμα «Φωτιστικά σώματα οδοφωτισμού τύπου βραχίονα με φωτεινές πηγές τεχνολογίας διόδων φωτοεκπομπής (LED) - Ισχύος 50−80 W, χωρίς βραχίονα».
Στο φύλλο εργασίας «Βοήθεια» (βλέπε παρακάτω Πίνακα 2), υπάρχει προσυμπληρωμένη λίστα που περιέχει τα βασικά Φωτιστικά Σώματα Τεχνολογίας LED. Ο χρήστης έχει τη δυνατότητα να  συμπληρώσει στη συγκεκριμένη λίστα μέχρι και δέκα (10) νέες συνοπτικές περιγραφές. </t>
    </r>
    <r>
      <rPr>
        <sz val="9"/>
        <color theme="1"/>
        <rFont val="Calibri"/>
        <family val="2"/>
        <charset val="161"/>
        <scheme val="minor"/>
      </rPr>
      <t xml:space="preserve">
• Συντομογραφία
</t>
    </r>
    <r>
      <rPr>
        <i/>
        <sz val="9"/>
        <color theme="1"/>
        <rFont val="Calibri"/>
        <family val="2"/>
        <charset val="161"/>
        <scheme val="minor"/>
      </rPr>
      <t xml:space="preserve">Συστήνεται η επιλογή μίας πολύ σύντομης χαρακτηριστικής συντομογραφίας για την κάθε κατηγορία Φωτιστικών Σωμάτων με σκοπό την καλύτερη διαχείριση των υπολογισμών και των αποτελεσμάτων. </t>
    </r>
    <r>
      <rPr>
        <sz val="9"/>
        <color theme="1"/>
        <rFont val="Calibri"/>
        <family val="2"/>
        <charset val="161"/>
        <scheme val="minor"/>
      </rPr>
      <t xml:space="preserve">
• Ελάχιστη απόδοση Φωτιστικού (lm/w)
</t>
    </r>
    <r>
      <rPr>
        <i/>
        <sz val="9"/>
        <color theme="1"/>
        <rFont val="Calibri"/>
        <family val="2"/>
        <charset val="161"/>
        <scheme val="minor"/>
      </rPr>
      <t>Επισημαίνεται ότι η τιμή πρέπει να είναι μεγαλύτερη ή ίση με την τιμή που έχει εισαχθεί στο φύλλο "Γενικά Δεδομένα". Προσοχή, άλλη τιμή προβλέπεται για τα Φωτιστικά Σώματα και άλλη για τους Λαμπτήρες νέας τεχνολογίας Led.</t>
    </r>
    <r>
      <rPr>
        <sz val="9"/>
        <color theme="1"/>
        <rFont val="Calibri"/>
        <family val="2"/>
        <charset val="161"/>
        <scheme val="minor"/>
      </rPr>
      <t xml:space="preserve">
• Lumen φωτιστικού
</t>
    </r>
    <r>
      <rPr>
        <i/>
        <sz val="9"/>
        <color theme="1"/>
        <rFont val="Calibri"/>
        <family val="2"/>
        <charset val="161"/>
        <scheme val="minor"/>
      </rPr>
      <t>Καταχωρείται η αντίστοιχη τιμή.</t>
    </r>
    <r>
      <rPr>
        <sz val="9"/>
        <color theme="1"/>
        <rFont val="Calibri"/>
        <family val="2"/>
        <charset val="161"/>
        <scheme val="minor"/>
      </rPr>
      <t xml:space="preserve">
• Dimming
</t>
    </r>
    <r>
      <rPr>
        <i/>
        <sz val="9"/>
        <color theme="1"/>
        <rFont val="Calibri"/>
        <family val="2"/>
        <charset val="161"/>
        <scheme val="minor"/>
      </rPr>
      <t>Επιλέγεται αν η συγκεκριμένη κατηγορία Φωτιστικών Σωμάτων ή Λαμπτήρων θα ελέγχεται ή όχι ως προς τη φωτεινότητά τους.</t>
    </r>
  </si>
  <si>
    <t>Α.Τ. (Αριθμός Τιμολογίου)</t>
  </si>
  <si>
    <t>Φύλλο εργασίας "Βραχίονες"</t>
  </si>
  <si>
    <t>Εισάγεται μόνο ο αριθμός των βραχιόνων που θα αντικατασταθούν.</t>
  </si>
  <si>
    <t>Φύλλα "Αποτελέσματα", "Υπολογισμοί", "Δάνειο" &amp; "Οικονομικότητα"</t>
  </si>
  <si>
    <t>Πίνακας 1</t>
  </si>
  <si>
    <t>Ισχύς Συμβατικού Συστήματος Φωτιστικού</t>
  </si>
  <si>
    <t>Συνολικός αριθμός εκτός λειτουργίας</t>
  </si>
  <si>
    <t>(W)</t>
  </si>
  <si>
    <t>A</t>
  </si>
  <si>
    <t>B</t>
  </si>
  <si>
    <t>Γ</t>
  </si>
  <si>
    <t>Δ</t>
  </si>
  <si>
    <t>Ε</t>
  </si>
  <si>
    <t>ΣΤ</t>
  </si>
  <si>
    <t>Ζ</t>
  </si>
  <si>
    <t>Η</t>
  </si>
  <si>
    <t>Θ</t>
  </si>
  <si>
    <t>Ι</t>
  </si>
  <si>
    <t>Ισχύς Συμβατικού Λαμπτήρα</t>
  </si>
  <si>
    <t>Ώρες λειτουργίας</t>
  </si>
  <si>
    <t>Κόστος ηλεκτρικής ενέργειας</t>
  </si>
  <si>
    <t>Ώρες</t>
  </si>
  <si>
    <t>kWh</t>
  </si>
  <si>
    <t>€/έτος</t>
  </si>
  <si>
    <t>ΣΥΝΟΛΟ</t>
  </si>
  <si>
    <t>Πίνακας 2</t>
  </si>
  <si>
    <t>Πίνακας 3</t>
  </si>
  <si>
    <t>ΠΡΙΝ</t>
  </si>
  <si>
    <t>ΜΕΤΑ</t>
  </si>
  <si>
    <t>Ισχύς Σύγχρονου Λαμπτήρα</t>
  </si>
  <si>
    <t>Ισχύς Σύγχρονου Συστήματος Φωτιστικού</t>
  </si>
  <si>
    <t>Δυνατότητα Dimming*</t>
  </si>
  <si>
    <t>Αριθμός φωτιστικών σωμάτων</t>
  </si>
  <si>
    <t>(ναι/όχι)</t>
  </si>
  <si>
    <t>Α</t>
  </si>
  <si>
    <t>Β</t>
  </si>
  <si>
    <t>Κ</t>
  </si>
  <si>
    <t>Μείωση κατανάλωσης ως αποτέλεσμα του dimming</t>
  </si>
  <si>
    <t>Αριθμός σε λειτουργία</t>
  </si>
  <si>
    <t>Αριθμός εκτός λειτουργίας</t>
  </si>
  <si>
    <t>(Ναι/Όχι)</t>
  </si>
  <si>
    <t>%</t>
  </si>
  <si>
    <t>Πίνακας 4</t>
  </si>
  <si>
    <t>Δυνατότητα Dimming</t>
  </si>
  <si>
    <t>Συνολικό κόστος</t>
  </si>
  <si>
    <t>€/τεμάχιο</t>
  </si>
  <si>
    <t>€</t>
  </si>
  <si>
    <t>Πίνακας 6</t>
  </si>
  <si>
    <t>Πίνακας 5</t>
  </si>
  <si>
    <t>Πίνακας 7</t>
  </si>
  <si>
    <t>Ισχύς Συμβατικού Λαμπτήρα/ Φωτιστικού Σώματος</t>
  </si>
  <si>
    <t>Ισχύς Συμβατικού Συστήματος Φωτιστικού Σώματος</t>
  </si>
  <si>
    <t>Συνολική κατανάλωση ηλεκτρικής ενέργειας
(Γ x Δ x ΣΤ)</t>
  </si>
  <si>
    <t>LED Ισχύος 25−50 W, χωρίς βραχίονα</t>
  </si>
  <si>
    <t>LED Ισχύος 50−80 W, χωρίς βραχίονα</t>
  </si>
  <si>
    <t>LED Ισχύος 80−110 W, χωρίς βραχίονα</t>
  </si>
  <si>
    <t>LED Ισχύος 110−150 W, χωρίς βραχίονα</t>
  </si>
  <si>
    <t>LED Ισχύος 150−200 W, χωρίς βραχίονα</t>
  </si>
  <si>
    <t>LED Ισχύος &gt;200 W, χωρίς βραχίονα</t>
  </si>
  <si>
    <t>Τεχνολογία Λαμπτήρα/ 
Φωτιστικού Σώματος</t>
  </si>
  <si>
    <t>Τεχνολογία Σύγχρονου Λαμπτήρα/ Φωτιστικού Σώματος</t>
  </si>
  <si>
    <t>Κόστος προμήθειας και εγκατάστασης</t>
  </si>
  <si>
    <t>Ισχύς Σύγχρονου Λαμπτήρα/ Φωτιστικού Σώματος</t>
  </si>
  <si>
    <t>Αριθμός λαμπτήρων/  φωτιστικών σωμάτων*</t>
  </si>
  <si>
    <t>Ετήσια Δαπάνη
(Θ x Ι)</t>
  </si>
  <si>
    <t>Κόστος απεγκατάστασης</t>
  </si>
  <si>
    <t>Κόστος προμήθειας &amp; εγκατάστασης</t>
  </si>
  <si>
    <t>Αριθμός βραχιόνων*</t>
  </si>
  <si>
    <r>
      <rPr>
        <b/>
        <sz val="9"/>
        <color theme="1"/>
        <rFont val="Calibri"/>
        <family val="2"/>
        <charset val="161"/>
        <scheme val="minor"/>
      </rPr>
      <t>Πίνακας 2**</t>
    </r>
    <r>
      <rPr>
        <sz val="9"/>
        <color theme="1"/>
        <rFont val="Calibri"/>
        <family val="2"/>
        <charset val="161"/>
        <scheme val="minor"/>
      </rPr>
      <t xml:space="preserve">
60.10.40. Φωτιστικά σώματα οδοφωτισμού τύπου βραχίονα με φωτεινές πηγές τεχνολογίας διόδων φωτοεκπομπής (LED) - Σύμφωνα με το ΦΕΚ 3347/2014 &amp; 1088/2015</t>
    </r>
  </si>
  <si>
    <t>Ετήσια Δαπάνη
(Ζ x H)</t>
  </si>
  <si>
    <t xml:space="preserve">Κατανάλωση ηλεκτρικής ενέργειας
[(Γ x ΣΤ x Η )
(1-Ε)/100]  </t>
  </si>
  <si>
    <t>Διάρκεια Ζωής Επένδυσης σε χρόνια:</t>
  </si>
  <si>
    <t>Επένδυση σε χρόνια</t>
  </si>
  <si>
    <r>
      <t>Ετήσιο κόστος Λειτρουργίας Συμβατικού Συστήματος (</t>
    </r>
    <r>
      <rPr>
        <sz val="10"/>
        <rFont val="Calibri"/>
        <family val="2"/>
        <charset val="161"/>
        <scheme val="minor"/>
      </rPr>
      <t>Συντήρηση</t>
    </r>
    <r>
      <rPr>
        <sz val="10"/>
        <color theme="1"/>
        <rFont val="Calibri"/>
        <family val="2"/>
        <charset val="161"/>
        <scheme val="minor"/>
      </rPr>
      <t>+Ενέργειακά κόστη) (€)
[9]=[IV+VI]</t>
    </r>
  </si>
  <si>
    <r>
      <t xml:space="preserve">Εισάγονται οι βασικές μοναδιαίες τιμές που λαμβάνονται υπόψη στο υπό μελέτη έργο και αφορούν:
• Το Φόρο Προστιθέμενης Αξίας.
</t>
    </r>
    <r>
      <rPr>
        <i/>
        <sz val="9"/>
        <color theme="1"/>
        <rFont val="Calibri"/>
        <family val="2"/>
        <charset val="161"/>
        <scheme val="minor"/>
      </rPr>
      <t>Η τιμή που εισάγεται είναι σύμφωνα με το καθεστώς ΦΠΑ στο οποίο υπόκειται ο Δικαιούχος.</t>
    </r>
    <r>
      <rPr>
        <sz val="9"/>
        <color theme="1"/>
        <rFont val="Calibri"/>
        <family val="2"/>
        <charset val="161"/>
        <scheme val="minor"/>
      </rPr>
      <t xml:space="preserve">
• Το ποσοστό προμήθειας φωτιστικών σωμάτων ή και εξαρτημάτων τους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του συνόλου των φωτιστικών σωμάτων ανά κατηγορία και φαίνεται στο φύλλο «Νέα ΦΣ».</t>
    </r>
    <r>
      <rPr>
        <sz val="9"/>
        <color theme="1"/>
        <rFont val="Calibri"/>
        <family val="2"/>
        <charset val="161"/>
        <scheme val="minor"/>
      </rPr>
      <t xml:space="preserve">
• Το ποσοστό προμήθειας βραχιόνων για αποθήκευση ώστε να διασφαλιστεί η άμεση αποκατάσταση τυχόν ζημιών/ βλαβών.
</t>
    </r>
    <r>
      <rPr>
        <i/>
        <sz val="9"/>
        <color theme="1"/>
        <rFont val="Calibri"/>
        <family val="2"/>
        <charset val="161"/>
        <scheme val="minor"/>
      </rPr>
      <t>Συστήνεται η τιμή που εισάγεται να μην υπερβαίνει το 1,5% με 2,00%. Το ποσοστό αυτό εφαρμόζεται επί το σύνολο των βραχιόνων ανά κατηγορία και φαίνεται στο φύλλο «Βραχίονες».</t>
    </r>
    <r>
      <rPr>
        <sz val="9"/>
        <color theme="1"/>
        <rFont val="Calibri"/>
        <family val="2"/>
        <charset val="161"/>
        <scheme val="minor"/>
      </rPr>
      <t xml:space="preserve">
• τη διάρκεια του Δανείου σε Χρόνια (0-10).
• το ετήσιο Κόστος Συντήρησης Δικτύου Φωτισμού με Συμβατικούς Λαμπτήρες.
</t>
    </r>
    <r>
      <rPr>
        <i/>
        <sz val="9"/>
        <color theme="1"/>
        <rFont val="Calibri"/>
        <family val="2"/>
        <charset val="161"/>
        <scheme val="minor"/>
      </rPr>
      <t>Η τιμή που εισάγεται πρέπει να τεκμηριώνεται πλήρως από στοιχεία παρελθοντικών ετών.</t>
    </r>
  </si>
  <si>
    <t>Φωτιστικά σώματα ή και εξαρτήματά τους προς αποθήκευση για άμεση αποκατάσταση ζημιάς/βλάβης.</t>
  </si>
  <si>
    <t>Βαση εγγραφης αιτιολογημενης βεβαιωσης από Αναθετουσα</t>
  </si>
  <si>
    <t>Παλαιά συμβατικά φωτιστικά σώματα επί ιστού σε ξύλινους και τσιμεντένιους  ιστούς, ύψους 5-10 μέτρων (Na150W)</t>
  </si>
  <si>
    <t>Παλαιά συμβατικά φωτιστικά σώματα επί ιστού  σε ξύλινους και τσιμεντένιους  ιστούς, ύψους 5-10 μέτρων (Hg125W)</t>
  </si>
  <si>
    <t>Λαμπτηρας οικονομιας Ε27 των 23W (E27-23W)</t>
  </si>
  <si>
    <t>Na250W-1</t>
  </si>
  <si>
    <t>Na250W-2</t>
  </si>
  <si>
    <t>ΌΧΙ</t>
  </si>
  <si>
    <t>τεμ.</t>
  </si>
  <si>
    <t>Λαμπτηρας LED E27 εως 11W (LEDE27-11W)</t>
  </si>
  <si>
    <t>Φωτιστικά σώματα τύπου  LED, καλλωπιστικού τύπου, κορυφής επί ιστού εως 45W (LEDTR45W)</t>
  </si>
  <si>
    <t>60.10.40.11N</t>
  </si>
  <si>
    <t>60.10.40.12N</t>
  </si>
  <si>
    <t>Παλαιά συμβατικά φωτιστικά σώματα παραδοσιακού τύπου  ύψους 3-4 μέτρων τυπου μπαλας με λαμπτηρα των 70W (TR70W)</t>
  </si>
  <si>
    <t>Παλαιά συμβατικά φωτιστικά σώματα επί ιστού σε μεταλλικούς ιστούς ύψους 8-10 μέτρων με λαμπτηρα 400W (Na400W)</t>
  </si>
  <si>
    <t>Τεμάχια εκτός λειτουργίας</t>
  </si>
  <si>
    <t>LED110-150-1</t>
  </si>
  <si>
    <t>€/MWh</t>
  </si>
  <si>
    <t>ΠΕΡΙΦΕΡΕΙΑ ΝΟΤΙΟΥ ΑΙΓΑΙΟΥ</t>
  </si>
  <si>
    <t>Κύριο αντικείμενο του παρόντος έργου αποτελεί η υλοποίηση των απαραίτητων βελτιστοποιήσεων, αναβαθμίσεων, προσαρμογών-επεκτάσεων στο υφιστάμενο δίκτυο  φωτισμού της Περιφέρειας και η λειτουργία αυτού, με σκοπό την πλήρη γεωγραφική κάλυψη της Περιφέρειας, την αναβάθμιση της παρεχόμενης προς τους δημότες υπηρεσίας φωτισμού και την εξοικονόμηση ενέργειας και πόρων.</t>
  </si>
  <si>
    <t>Παλαιά συμβατικά φωτιστικά σώματα επί ιστού σε μεταλλικούς ιστούς ύψους 7-12 μέτρων με λαμπτήρα  (Na250W)</t>
  </si>
  <si>
    <t>Συμβατικός Προβολέας με λαμπτήρα των 1000W (FLL1000W)</t>
  </si>
  <si>
    <t>Na250W-3</t>
  </si>
  <si>
    <t>FLL1000W</t>
  </si>
  <si>
    <t>60.10.40.07N</t>
  </si>
  <si>
    <t>LED Ισχύος 150-200 W, τυπου προβολεα (LEDFLL150-200W)</t>
  </si>
  <si>
    <t>LED80-110</t>
  </si>
  <si>
    <t>LED50-80</t>
  </si>
  <si>
    <t>LEDFLL150-200W</t>
  </si>
  <si>
    <t>Σταθμισμένο κόστος επένδυσης (€/MWh):</t>
  </si>
  <si>
    <t>Αριθμός Φωτιστικών Σωμάτων</t>
  </si>
  <si>
    <t xml:space="preserve">ΕΞΟΙΚΟΝΟΜΗΣΗ ΕΝΕΡΓΕΙΑΣ ΣΤΟ ΔΙΚΤΥΟ ΟΔΙΚΟΥ ΦΩΤΙΣΜΟΥ  ΤΗΣ ΝΗΣΟΥ ΡΟΔΟΥ  ΜΕ ΤΗΝ ΠΡΟΜΗΘΕΙΑ
&amp; ΕΓΚΑΤΑΣΤΑΣΗ ΦΩΤΙΣΤΙΚΩΝ ΣΩΜΑΤΩΝ ΤΥΠΟΥ LED
</t>
  </si>
  <si>
    <t xml:space="preserve">ΌΧΙ </t>
  </si>
  <si>
    <t>Συνολικός αριθμός φωτιστικών σωμάτων</t>
  </si>
  <si>
    <t xml:space="preserve">ΠΑΡΑΡΤΗΜΑ 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</si>
</sst>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0.00\ &quot;€&quot;;[Red]\-#,##0.00\ &quot;€&quot;"/>
    <numFmt numFmtId="164" formatCode="_(* #,##0.00_);_(* \(#,##0.00\);_(* &quot;-&quot;??_);_(@_)"/>
    <numFmt numFmtId="165" formatCode="dd/mm/yyyy;@"/>
    <numFmt numFmtId="166" formatCode="dd/mm/yyyy"/>
    <numFmt numFmtId="167" formatCode="0.0000"/>
    <numFmt numFmtId="168" formatCode="[$-408]dd/mmm/yyyy;@"/>
    <numFmt numFmtId="169" formatCode="#,##0.00\ [$€-408]"/>
    <numFmt numFmtId="170" formatCode="#,##0.00\ [$€-1]"/>
    <numFmt numFmtId="171" formatCode="0.000%"/>
    <numFmt numFmtId="172" formatCode="#,##0.0000"/>
    <numFmt numFmtId="173" formatCode="#,##0.000"/>
  </numFmts>
  <fonts count="40"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2"/>
      <color theme="1"/>
      <name val="Calibri"/>
      <family val="2"/>
      <charset val="161"/>
      <scheme val="minor"/>
    </font>
    <font>
      <i/>
      <sz val="9"/>
      <color theme="1"/>
      <name val="Calibri"/>
      <family val="2"/>
      <charset val="161"/>
      <scheme val="minor"/>
    </font>
    <font>
      <sz val="10"/>
      <color theme="1"/>
      <name val="Calibri"/>
      <family val="2"/>
      <scheme val="minor"/>
    </font>
    <font>
      <sz val="10"/>
      <color theme="1"/>
      <name val="Calibri"/>
      <family val="2"/>
      <charset val="161"/>
      <scheme val="minor"/>
    </font>
    <font>
      <sz val="9"/>
      <color indexed="81"/>
      <name val="Tahoma"/>
      <family val="2"/>
      <charset val="161"/>
    </font>
    <font>
      <b/>
      <vertAlign val="subscript"/>
      <sz val="11"/>
      <color theme="1"/>
      <name val="Calibri"/>
      <family val="2"/>
      <charset val="161"/>
      <scheme val="minor"/>
    </font>
    <font>
      <sz val="11"/>
      <color theme="1"/>
      <name val="Calibri"/>
      <family val="2"/>
      <scheme val="minor"/>
    </font>
    <font>
      <b/>
      <sz val="9"/>
      <color indexed="81"/>
      <name val="Tahoma"/>
      <family val="2"/>
      <charset val="161"/>
    </font>
    <font>
      <sz val="10"/>
      <name val="Arial"/>
      <family val="2"/>
      <charset val="161"/>
    </font>
    <font>
      <i/>
      <sz val="8"/>
      <color theme="1"/>
      <name val="Calibri"/>
      <family val="2"/>
      <charset val="161"/>
      <scheme val="minor"/>
    </font>
    <font>
      <sz val="11"/>
      <color rgb="FFFF0000"/>
      <name val="Calibri"/>
      <family val="2"/>
      <scheme val="minor"/>
    </font>
    <font>
      <sz val="11"/>
      <name val="Calibri"/>
      <family val="2"/>
      <scheme val="minor"/>
    </font>
    <font>
      <vertAlign val="subscript"/>
      <sz val="11"/>
      <name val="Calibri"/>
      <family val="2"/>
      <charset val="161"/>
      <scheme val="minor"/>
    </font>
    <font>
      <sz val="11"/>
      <name val="Calibri"/>
      <family val="2"/>
      <charset val="161"/>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5"/>
      <color theme="3"/>
      <name val="Calibri"/>
      <family val="2"/>
      <charset val="161"/>
      <scheme val="minor"/>
    </font>
    <font>
      <b/>
      <sz val="11"/>
      <color theme="3"/>
      <name val="Calibri"/>
      <family val="2"/>
      <charset val="161"/>
      <scheme val="minor"/>
    </font>
    <font>
      <sz val="11"/>
      <color rgb="FF3F3F76"/>
      <name val="Calibri"/>
      <family val="2"/>
      <charset val="161"/>
      <scheme val="minor"/>
    </font>
    <font>
      <b/>
      <sz val="11"/>
      <color theme="1"/>
      <name val="Calibri"/>
      <family val="2"/>
      <charset val="161"/>
      <scheme val="minor"/>
    </font>
    <font>
      <b/>
      <i/>
      <sz val="10"/>
      <name val="Arial"/>
      <family val="2"/>
      <charset val="161"/>
    </font>
    <font>
      <i/>
      <sz val="9"/>
      <name val="Calibri"/>
      <family val="2"/>
      <charset val="161"/>
      <scheme val="minor"/>
    </font>
    <font>
      <b/>
      <sz val="10"/>
      <color indexed="18"/>
      <name val="Calibri"/>
      <family val="2"/>
      <charset val="161"/>
      <scheme val="minor"/>
    </font>
    <font>
      <sz val="10"/>
      <color indexed="18"/>
      <name val="Calibri"/>
      <family val="2"/>
      <charset val="161"/>
      <scheme val="minor"/>
    </font>
    <font>
      <sz val="10"/>
      <name val="Calibri"/>
      <family val="2"/>
      <charset val="161"/>
      <scheme val="minor"/>
    </font>
    <font>
      <b/>
      <sz val="11"/>
      <name val="Calibri"/>
      <family val="2"/>
      <charset val="161"/>
      <scheme val="minor"/>
    </font>
    <font>
      <sz val="10"/>
      <color rgb="FF3F3F3F"/>
      <name val="Calibri"/>
      <family val="2"/>
      <charset val="161"/>
      <scheme val="minor"/>
    </font>
    <font>
      <sz val="10"/>
      <color rgb="FF9C6500"/>
      <name val="Calibri"/>
      <family val="2"/>
      <charset val="161"/>
      <scheme val="minor"/>
    </font>
    <font>
      <b/>
      <sz val="10"/>
      <color theme="1"/>
      <name val="Calibri"/>
      <family val="2"/>
      <charset val="161"/>
      <scheme val="minor"/>
    </font>
    <font>
      <sz val="9"/>
      <color theme="1"/>
      <name val="Calibri"/>
      <family val="2"/>
      <charset val="161"/>
      <scheme val="minor"/>
    </font>
    <font>
      <b/>
      <i/>
      <sz val="9"/>
      <color indexed="18"/>
      <name val="Calibri"/>
      <family val="2"/>
      <charset val="161"/>
      <scheme val="minor"/>
    </font>
    <font>
      <b/>
      <sz val="9"/>
      <color theme="1"/>
      <name val="Calibri"/>
      <family val="2"/>
      <charset val="161"/>
      <scheme val="minor"/>
    </font>
    <font>
      <b/>
      <i/>
      <sz val="11"/>
      <color indexed="18"/>
      <name val="Calibri"/>
      <family val="2"/>
      <charset val="161"/>
      <scheme val="minor"/>
    </font>
    <font>
      <sz val="8"/>
      <color theme="1"/>
      <name val="Verdana"/>
      <family val="2"/>
      <charset val="161"/>
    </font>
    <font>
      <b/>
      <sz val="8"/>
      <color theme="1"/>
      <name val="Verdana"/>
      <family val="2"/>
      <charset val="161"/>
    </font>
    <font>
      <b/>
      <sz val="18"/>
      <color theme="1"/>
      <name val="Calibri"/>
      <family val="2"/>
      <charset val="161"/>
      <scheme val="minor"/>
    </font>
  </fonts>
  <fills count="21">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gray125">
        <fgColor indexed="43"/>
        <bgColor indexed="26"/>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B4"/>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4" tint="0.79998168889431442"/>
        <bgColor indexed="64"/>
      </patternFill>
    </fill>
    <fill>
      <patternFill patternType="solid">
        <fgColor rgb="FFF79646"/>
        <bgColor indexed="64"/>
      </patternFill>
    </fill>
    <fill>
      <patternFill patternType="solid">
        <fgColor rgb="FFC6D9F1"/>
        <bgColor indexed="64"/>
      </patternFill>
    </fill>
    <fill>
      <patternFill patternType="solid">
        <fgColor rgb="FFFFFFFF"/>
        <bgColor indexed="64"/>
      </patternFill>
    </fill>
    <fill>
      <patternFill patternType="solid">
        <fgColor rgb="FFD9D9D9"/>
        <bgColor indexed="64"/>
      </patternFill>
    </fill>
    <fill>
      <patternFill patternType="solid">
        <fgColor theme="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9" fillId="0" borderId="0" applyFont="0" applyFill="0" applyBorder="0" applyAlignment="0" applyProtection="0"/>
    <xf numFmtId="0" fontId="11" fillId="0" borderId="0"/>
    <xf numFmtId="9" fontId="11" fillId="0" borderId="0" applyFont="0" applyFill="0" applyBorder="0" applyAlignment="0" applyProtection="0"/>
    <xf numFmtId="0" fontId="17" fillId="9" borderId="26" applyNumberFormat="0" applyAlignment="0" applyProtection="0"/>
    <xf numFmtId="0" fontId="18" fillId="10" borderId="27" applyNumberFormat="0" applyAlignment="0" applyProtection="0"/>
    <xf numFmtId="164" fontId="9" fillId="0" borderId="0" applyFont="0" applyFill="0" applyBorder="0" applyAlignment="0" applyProtection="0"/>
    <xf numFmtId="0" fontId="19" fillId="8" borderId="0" applyNumberFormat="0" applyBorder="0" applyAlignment="0" applyProtection="0"/>
    <xf numFmtId="0" fontId="20" fillId="0" borderId="29" applyNumberFormat="0" applyFill="0" applyAlignment="0" applyProtection="0"/>
  </cellStyleXfs>
  <cellXfs count="345">
    <xf numFmtId="0" fontId="0" fillId="0" borderId="0" xfId="0"/>
    <xf numFmtId="0" fontId="5" fillId="0" borderId="1" xfId="0" applyFont="1" applyBorder="1" applyAlignment="1">
      <alignment horizontal="center" vertical="center" wrapText="1"/>
    </xf>
    <xf numFmtId="3" fontId="5"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4" fontId="0" fillId="0" borderId="0" xfId="0" applyNumberFormat="1"/>
    <xf numFmtId="167" fontId="0" fillId="0" borderId="1" xfId="0" applyNumberFormat="1" applyFill="1" applyBorder="1" applyAlignment="1" applyProtection="1">
      <alignment horizontal="right" vertical="center"/>
    </xf>
    <xf numFmtId="2" fontId="0" fillId="0" borderId="1" xfId="0" applyNumberFormat="1" applyFill="1" applyBorder="1" applyAlignment="1" applyProtection="1">
      <alignment horizontal="right" vertical="center"/>
    </xf>
    <xf numFmtId="10" fontId="0" fillId="0" borderId="1" xfId="0" applyNumberFormat="1" applyFill="1" applyBorder="1" applyAlignment="1" applyProtection="1">
      <alignment horizontal="right" vertical="center"/>
    </xf>
    <xf numFmtId="0" fontId="6" fillId="3" borderId="11" xfId="0" applyFont="1" applyFill="1" applyBorder="1" applyAlignment="1">
      <alignment horizontal="center" vertical="center"/>
    </xf>
    <xf numFmtId="0" fontId="6" fillId="3" borderId="12" xfId="0" applyFont="1"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top" wrapText="1"/>
    </xf>
    <xf numFmtId="0" fontId="5" fillId="0" borderId="24" xfId="0" applyFont="1" applyBorder="1" applyAlignment="1">
      <alignment vertical="top" wrapText="1"/>
    </xf>
    <xf numFmtId="4" fontId="5" fillId="0" borderId="1" xfId="0" applyNumberFormat="1" applyFont="1" applyFill="1" applyBorder="1" applyAlignment="1" applyProtection="1">
      <alignment horizontal="right" vertical="center" wrapText="1"/>
    </xf>
    <xf numFmtId="0" fontId="0" fillId="0" borderId="0" xfId="0"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0" fillId="0" borderId="10" xfId="0" applyBorder="1" applyProtection="1"/>
    <xf numFmtId="0" fontId="0" fillId="0" borderId="0" xfId="0" applyAlignment="1" applyProtection="1">
      <alignment horizontal="center" vertical="center"/>
    </xf>
    <xf numFmtId="0" fontId="13" fillId="0" borderId="0" xfId="0" applyFont="1" applyBorder="1" applyProtection="1"/>
    <xf numFmtId="0" fontId="12" fillId="0" borderId="0" xfId="0" applyFont="1" applyBorder="1" applyAlignment="1" applyProtection="1">
      <alignment horizontal="right"/>
    </xf>
    <xf numFmtId="0" fontId="0" fillId="0" borderId="15" xfId="0" applyBorder="1" applyProtection="1"/>
    <xf numFmtId="0" fontId="0" fillId="0" borderId="16" xfId="0" applyBorder="1" applyProtection="1"/>
    <xf numFmtId="0" fontId="0" fillId="0" borderId="17" xfId="0" applyBorder="1" applyProtection="1"/>
    <xf numFmtId="0" fontId="0" fillId="0" borderId="0" xfId="0" applyFill="1" applyBorder="1" applyProtection="1"/>
    <xf numFmtId="0" fontId="0" fillId="0" borderId="9" xfId="0" applyFill="1" applyBorder="1" applyAlignment="1" applyProtection="1">
      <alignment horizontal="lef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right" vertical="center"/>
    </xf>
    <xf numFmtId="0" fontId="4"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0" xfId="0" applyFill="1" applyBorder="1" applyAlignment="1" applyProtection="1">
      <alignment horizontal="left"/>
    </xf>
    <xf numFmtId="0" fontId="14" fillId="0" borderId="1" xfId="0" applyFont="1" applyBorder="1" applyProtection="1"/>
    <xf numFmtId="0" fontId="6" fillId="3" borderId="1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wrapText="1"/>
    </xf>
    <xf numFmtId="0" fontId="6" fillId="3" borderId="1" xfId="0" applyFont="1" applyFill="1" applyBorder="1" applyAlignment="1" applyProtection="1">
      <alignment vertical="center"/>
    </xf>
    <xf numFmtId="0" fontId="6" fillId="3" borderId="12" xfId="0"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3" fontId="5" fillId="0" borderId="1" xfId="0" applyNumberFormat="1" applyFont="1" applyFill="1" applyBorder="1" applyAlignment="1" applyProtection="1">
      <alignment horizontal="right" vertical="center" wrapText="1"/>
    </xf>
    <xf numFmtId="0" fontId="5" fillId="0" borderId="1" xfId="0" applyFont="1" applyBorder="1" applyAlignment="1" applyProtection="1">
      <alignment vertical="top" wrapText="1"/>
    </xf>
    <xf numFmtId="0" fontId="5" fillId="0" borderId="12" xfId="0" applyFont="1" applyBorder="1" applyAlignment="1" applyProtection="1">
      <alignment vertical="top" wrapText="1"/>
    </xf>
    <xf numFmtId="3" fontId="5" fillId="0" borderId="25" xfId="0" applyNumberFormat="1" applyFont="1" applyFill="1" applyBorder="1" applyAlignment="1" applyProtection="1">
      <alignment horizontal="right" vertical="center" wrapText="1"/>
    </xf>
    <xf numFmtId="0" fontId="6" fillId="3" borderId="12"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3" fontId="5" fillId="0" borderId="12" xfId="0" applyNumberFormat="1" applyFont="1" applyFill="1" applyBorder="1" applyAlignment="1" applyProtection="1">
      <alignment horizontal="right" vertical="center" wrapText="1"/>
    </xf>
    <xf numFmtId="3" fontId="5" fillId="0" borderId="1" xfId="0" applyNumberFormat="1" applyFont="1" applyBorder="1" applyAlignment="1" applyProtection="1">
      <alignment vertical="center" wrapText="1"/>
    </xf>
    <xf numFmtId="4" fontId="5" fillId="0" borderId="25" xfId="0" applyNumberFormat="1" applyFont="1" applyFill="1" applyBorder="1" applyAlignment="1" applyProtection="1">
      <alignment horizontal="right" vertical="center" wrapText="1"/>
    </xf>
    <xf numFmtId="0" fontId="2" fillId="0" borderId="0" xfId="0" applyFont="1"/>
    <xf numFmtId="0" fontId="2" fillId="12" borderId="1" xfId="0" applyFont="1" applyFill="1" applyBorder="1"/>
    <xf numFmtId="0" fontId="2" fillId="0" borderId="1" xfId="0" applyFont="1" applyBorder="1"/>
    <xf numFmtId="169" fontId="2" fillId="0" borderId="1" xfId="0" applyNumberFormat="1" applyFont="1" applyBorder="1"/>
    <xf numFmtId="14" fontId="2" fillId="0" borderId="1" xfId="0" applyNumberFormat="1" applyFont="1" applyBorder="1"/>
    <xf numFmtId="0" fontId="2" fillId="0" borderId="0" xfId="0" applyFont="1" applyBorder="1"/>
    <xf numFmtId="10" fontId="28" fillId="0" borderId="12" xfId="1" applyNumberFormat="1" applyFont="1" applyFill="1" applyBorder="1" applyAlignment="1">
      <alignment vertical="center" wrapText="1"/>
    </xf>
    <xf numFmtId="0" fontId="2" fillId="0" borderId="1" xfId="0" applyFont="1" applyFill="1" applyBorder="1"/>
    <xf numFmtId="169" fontId="22" fillId="0" borderId="1" xfId="4" applyNumberFormat="1" applyFont="1" applyFill="1" applyBorder="1"/>
    <xf numFmtId="10" fontId="22" fillId="0" borderId="1" xfId="4" applyNumberFormat="1" applyFont="1" applyFill="1" applyBorder="1"/>
    <xf numFmtId="0" fontId="22" fillId="0" borderId="1" xfId="4" applyFont="1" applyFill="1" applyBorder="1"/>
    <xf numFmtId="14" fontId="22" fillId="0" borderId="1" xfId="4" applyNumberFormat="1" applyFont="1" applyFill="1" applyBorder="1"/>
    <xf numFmtId="0" fontId="2" fillId="0" borderId="1" xfId="0" applyFont="1" applyFill="1" applyBorder="1" applyAlignment="1">
      <alignment horizontal="right"/>
    </xf>
    <xf numFmtId="0" fontId="2" fillId="0" borderId="0" xfId="0" applyFont="1" applyFill="1"/>
    <xf numFmtId="10" fontId="2" fillId="0" borderId="1" xfId="0" applyNumberFormat="1" applyFont="1" applyFill="1" applyBorder="1"/>
    <xf numFmtId="169" fontId="2" fillId="0" borderId="1" xfId="0" applyNumberFormat="1" applyFont="1" applyFill="1" applyBorder="1" applyAlignment="1">
      <alignment horizontal="right"/>
    </xf>
    <xf numFmtId="0" fontId="2" fillId="0" borderId="0" xfId="0" applyNumberFormat="1" applyFont="1"/>
    <xf numFmtId="0" fontId="6" fillId="0" borderId="0" xfId="0" applyFont="1"/>
    <xf numFmtId="0" fontId="30" fillId="12" borderId="1" xfId="5" applyFont="1" applyFill="1" applyBorder="1" applyAlignment="1">
      <alignment wrapText="1"/>
    </xf>
    <xf numFmtId="164" fontId="6" fillId="0" borderId="1" xfId="6" applyFont="1" applyBorder="1"/>
    <xf numFmtId="0" fontId="6" fillId="12" borderId="1" xfId="0" applyFont="1" applyFill="1" applyBorder="1" applyAlignment="1">
      <alignment horizontal="center" vertical="center"/>
    </xf>
    <xf numFmtId="0" fontId="6" fillId="12" borderId="1" xfId="0" applyNumberFormat="1" applyFont="1" applyFill="1" applyBorder="1" applyAlignment="1">
      <alignment horizontal="center" vertical="center" wrapText="1"/>
    </xf>
    <xf numFmtId="0" fontId="6" fillId="12" borderId="1" xfId="0" applyFont="1" applyFill="1" applyBorder="1" applyAlignment="1">
      <alignment horizontal="center" vertical="center" wrapText="1"/>
    </xf>
    <xf numFmtId="0" fontId="31" fillId="8" borderId="1" xfId="7" applyFont="1" applyBorder="1"/>
    <xf numFmtId="0" fontId="31" fillId="8" borderId="1" xfId="7" applyNumberFormat="1" applyFont="1" applyBorder="1"/>
    <xf numFmtId="169" fontId="6" fillId="0" borderId="1" xfId="0" applyNumberFormat="1" applyFont="1" applyBorder="1"/>
    <xf numFmtId="0" fontId="6" fillId="0" borderId="1" xfId="0" applyFont="1" applyBorder="1"/>
    <xf numFmtId="0" fontId="6" fillId="0" borderId="1" xfId="0" applyNumberFormat="1" applyFont="1" applyBorder="1"/>
    <xf numFmtId="170" fontId="6" fillId="0" borderId="1" xfId="0" applyNumberFormat="1" applyFont="1" applyBorder="1"/>
    <xf numFmtId="2" fontId="6" fillId="0" borderId="1" xfId="0" applyNumberFormat="1" applyFont="1" applyBorder="1" applyAlignment="1">
      <alignment horizontal="right"/>
    </xf>
    <xf numFmtId="0" fontId="30" fillId="12" borderId="1" xfId="5" applyFont="1" applyFill="1" applyBorder="1"/>
    <xf numFmtId="9" fontId="6" fillId="0" borderId="1" xfId="0" applyNumberFormat="1" applyFont="1" applyBorder="1" applyAlignment="1">
      <alignment horizontal="right"/>
    </xf>
    <xf numFmtId="9" fontId="6" fillId="0" borderId="1" xfId="0" applyNumberFormat="1" applyFont="1" applyBorder="1"/>
    <xf numFmtId="0" fontId="6" fillId="0" borderId="0" xfId="0" applyNumberFormat="1" applyFont="1"/>
    <xf numFmtId="0" fontId="6" fillId="0" borderId="0" xfId="0" applyFont="1" applyAlignment="1">
      <alignment vertical="center" wrapText="1"/>
    </xf>
    <xf numFmtId="169" fontId="2" fillId="0" borderId="0" xfId="0" applyNumberFormat="1" applyFont="1"/>
    <xf numFmtId="0" fontId="23" fillId="0" borderId="1" xfId="0" applyFont="1" applyBorder="1" applyAlignment="1">
      <alignment horizontal="center"/>
    </xf>
    <xf numFmtId="0" fontId="23" fillId="0" borderId="1" xfId="0" applyFont="1" applyBorder="1"/>
    <xf numFmtId="0" fontId="6" fillId="0" borderId="0" xfId="0" applyFont="1" applyBorder="1"/>
    <xf numFmtId="0" fontId="6" fillId="0" borderId="0" xfId="0" applyFont="1" applyBorder="1" applyAlignment="1">
      <alignment vertical="center" wrapText="1"/>
    </xf>
    <xf numFmtId="0" fontId="6" fillId="0" borderId="0" xfId="0" applyNumberFormat="1" applyFont="1" applyFill="1" applyBorder="1" applyAlignment="1">
      <alignment horizontal="center"/>
    </xf>
    <xf numFmtId="0" fontId="6" fillId="0" borderId="0" xfId="0" applyFont="1" applyFill="1" applyBorder="1"/>
    <xf numFmtId="0" fontId="14" fillId="0" borderId="1" xfId="0" applyFont="1" applyBorder="1" applyAlignment="1" applyProtection="1">
      <alignment horizontal="right" vertical="center"/>
    </xf>
    <xf numFmtId="170" fontId="6" fillId="0" borderId="0" xfId="0" applyNumberFormat="1" applyFont="1"/>
    <xf numFmtId="171" fontId="6" fillId="0" borderId="0" xfId="0" applyNumberFormat="1" applyFont="1"/>
    <xf numFmtId="8" fontId="6" fillId="0" borderId="1" xfId="0" applyNumberFormat="1" applyFont="1" applyBorder="1" applyAlignment="1">
      <alignment horizontal="right"/>
    </xf>
    <xf numFmtId="0" fontId="1" fillId="0" borderId="1" xfId="0" applyFont="1" applyBorder="1" applyAlignment="1">
      <alignment horizontal="center"/>
    </xf>
    <xf numFmtId="170" fontId="6" fillId="0" borderId="0" xfId="0" applyNumberFormat="1" applyFont="1" applyBorder="1"/>
    <xf numFmtId="0" fontId="37" fillId="0" borderId="0" xfId="0" applyFont="1"/>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3" borderId="1" xfId="0" applyFont="1" applyFill="1" applyBorder="1" applyAlignment="1">
      <alignment horizontal="center" vertical="center" wrapText="1"/>
    </xf>
    <xf numFmtId="0" fontId="37" fillId="0" borderId="1" xfId="0" applyFont="1" applyBorder="1" applyAlignment="1">
      <alignment horizontal="left" vertical="center" wrapText="1"/>
    </xf>
    <xf numFmtId="4" fontId="37" fillId="0" borderId="1" xfId="0" applyNumberFormat="1" applyFont="1" applyBorder="1" applyAlignment="1">
      <alignment horizontal="center" vertical="center"/>
    </xf>
    <xf numFmtId="3" fontId="37" fillId="0" borderId="1" xfId="0" applyNumberFormat="1" applyFont="1" applyBorder="1" applyAlignment="1">
      <alignment horizontal="center" vertical="center"/>
    </xf>
    <xf numFmtId="0" fontId="37" fillId="16" borderId="1" xfId="0" applyFont="1" applyFill="1" applyBorder="1" applyAlignment="1">
      <alignment horizontal="center" vertical="center" wrapText="1"/>
    </xf>
    <xf numFmtId="4" fontId="37" fillId="0" borderId="1" xfId="0" applyNumberFormat="1" applyFont="1" applyBorder="1" applyAlignment="1">
      <alignment horizontal="center" vertical="center" wrapText="1"/>
    </xf>
    <xf numFmtId="172" fontId="37" fillId="0" borderId="1" xfId="0" applyNumberFormat="1" applyFont="1" applyBorder="1" applyAlignment="1">
      <alignment horizontal="center" vertical="center" wrapText="1"/>
    </xf>
    <xf numFmtId="167" fontId="37" fillId="0" borderId="1" xfId="0" applyNumberFormat="1" applyFont="1" applyBorder="1" applyAlignment="1">
      <alignment horizontal="center" vertical="center" wrapText="1"/>
    </xf>
    <xf numFmtId="0" fontId="38" fillId="0" borderId="1" xfId="0" applyFont="1" applyBorder="1"/>
    <xf numFmtId="0" fontId="37" fillId="18" borderId="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7" fillId="3" borderId="1" xfId="0" applyFont="1" applyFill="1" applyBorder="1" applyAlignment="1">
      <alignment horizontal="center" vertical="center"/>
    </xf>
    <xf numFmtId="0" fontId="37" fillId="3" borderId="33"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8" borderId="33"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2" fontId="37" fillId="0" borderId="1" xfId="0" applyNumberFormat="1" applyFont="1" applyFill="1" applyBorder="1" applyAlignment="1">
      <alignment horizontal="center" vertical="center" wrapText="1"/>
    </xf>
    <xf numFmtId="2" fontId="37" fillId="3" borderId="1" xfId="0" applyNumberFormat="1" applyFont="1" applyFill="1" applyBorder="1" applyAlignment="1">
      <alignment horizontal="center" vertical="center" wrapText="1"/>
    </xf>
    <xf numFmtId="0" fontId="37" fillId="18" borderId="1" xfId="0" applyFont="1" applyFill="1" applyBorder="1" applyAlignment="1">
      <alignment horizontal="left" vertical="center" wrapText="1"/>
    </xf>
    <xf numFmtId="4" fontId="37" fillId="0" borderId="0" xfId="0" applyNumberFormat="1" applyFont="1"/>
    <xf numFmtId="0" fontId="37" fillId="20" borderId="1" xfId="0" applyFont="1" applyFill="1" applyBorder="1" applyAlignment="1">
      <alignment horizontal="center" vertical="center" wrapText="1"/>
    </xf>
    <xf numFmtId="3" fontId="37" fillId="20" borderId="1" xfId="0" applyNumberFormat="1" applyFont="1" applyFill="1" applyBorder="1" applyAlignment="1">
      <alignment horizontal="center" vertical="center" wrapText="1"/>
    </xf>
    <xf numFmtId="0" fontId="37" fillId="20" borderId="1" xfId="0" applyFont="1" applyFill="1" applyBorder="1" applyAlignment="1">
      <alignment vertical="center" wrapText="1"/>
    </xf>
    <xf numFmtId="4" fontId="37" fillId="20" borderId="1" xfId="0" applyNumberFormat="1" applyFont="1" applyFill="1" applyBorder="1" applyAlignment="1">
      <alignment horizontal="center" vertical="center" wrapText="1"/>
    </xf>
    <xf numFmtId="3" fontId="37" fillId="0" borderId="0" xfId="0" applyNumberFormat="1" applyFont="1"/>
    <xf numFmtId="0" fontId="28" fillId="12" borderId="1" xfId="0" applyFont="1" applyFill="1" applyBorder="1"/>
    <xf numFmtId="0" fontId="28" fillId="0" borderId="1" xfId="4" applyFont="1" applyFill="1" applyBorder="1"/>
    <xf numFmtId="0" fontId="28" fillId="12" borderId="1" xfId="5" applyFont="1" applyFill="1" applyBorder="1" applyAlignment="1">
      <alignment wrapText="1"/>
    </xf>
    <xf numFmtId="169" fontId="28" fillId="0" borderId="1" xfId="0" applyNumberFormat="1" applyFont="1" applyBorder="1"/>
    <xf numFmtId="3" fontId="5" fillId="0" borderId="33" xfId="0" applyNumberFormat="1" applyFont="1" applyFill="1" applyBorder="1" applyAlignment="1" applyProtection="1">
      <alignment horizontal="right" vertical="center" wrapText="1"/>
    </xf>
    <xf numFmtId="3" fontId="0" fillId="0" borderId="0" xfId="0" applyNumberFormat="1" applyProtection="1"/>
    <xf numFmtId="10" fontId="0" fillId="15" borderId="1" xfId="0" applyNumberFormat="1" applyFill="1" applyBorder="1" applyAlignment="1" applyProtection="1">
      <alignment horizontal="right" vertical="center"/>
    </xf>
    <xf numFmtId="0" fontId="14" fillId="15" borderId="1" xfId="0" applyFont="1" applyFill="1" applyBorder="1" applyProtection="1"/>
    <xf numFmtId="4" fontId="14" fillId="15" borderId="1" xfId="0" applyNumberFormat="1" applyFont="1" applyFill="1" applyBorder="1" applyAlignment="1" applyProtection="1">
      <alignment horizontal="right" vertical="center"/>
    </xf>
    <xf numFmtId="2" fontId="0" fillId="7" borderId="1" xfId="0" applyNumberFormat="1" applyFill="1" applyBorder="1" applyAlignment="1" applyProtection="1">
      <alignment horizontal="right" vertical="center"/>
      <protection locked="0"/>
    </xf>
    <xf numFmtId="0" fontId="5" fillId="2" borderId="1" xfId="0" applyFont="1" applyFill="1" applyBorder="1" applyAlignment="1" applyProtection="1">
      <alignment horizontal="center" vertical="center" wrapText="1"/>
    </xf>
    <xf numFmtId="3" fontId="5" fillId="2" borderId="1" xfId="0" applyNumberFormat="1" applyFont="1" applyFill="1" applyBorder="1" applyAlignment="1" applyProtection="1">
      <alignment horizontal="right" vertical="center" wrapText="1"/>
    </xf>
    <xf numFmtId="4" fontId="5" fillId="2" borderId="1" xfId="0" applyNumberFormat="1" applyFont="1" applyFill="1" applyBorder="1" applyAlignment="1" applyProtection="1">
      <alignment horizontal="right" vertical="center" wrapText="1"/>
    </xf>
    <xf numFmtId="4" fontId="5" fillId="7" borderId="1" xfId="0" applyNumberFormat="1" applyFont="1" applyFill="1" applyBorder="1" applyAlignment="1" applyProtection="1">
      <alignment horizontal="right" vertical="center" wrapText="1"/>
      <protection locked="0"/>
    </xf>
    <xf numFmtId="0" fontId="5" fillId="15" borderId="1" xfId="0" applyFont="1" applyFill="1" applyBorder="1" applyAlignment="1" applyProtection="1">
      <alignment horizontal="center" vertical="center" wrapText="1"/>
    </xf>
    <xf numFmtId="0" fontId="5" fillId="15" borderId="12" xfId="0" applyFont="1" applyFill="1" applyBorder="1" applyAlignment="1" applyProtection="1">
      <alignment horizontal="center" vertical="center" wrapText="1"/>
    </xf>
    <xf numFmtId="3" fontId="5" fillId="15" borderId="1" xfId="0" applyNumberFormat="1" applyFont="1" applyFill="1" applyBorder="1" applyAlignment="1" applyProtection="1">
      <alignment horizontal="right" vertical="center" wrapText="1"/>
    </xf>
    <xf numFmtId="0" fontId="32" fillId="14" borderId="39" xfId="0" applyFont="1" applyFill="1" applyBorder="1"/>
    <xf numFmtId="2" fontId="6" fillId="0" borderId="38" xfId="0" applyNumberFormat="1" applyFont="1" applyBorder="1"/>
    <xf numFmtId="0" fontId="33" fillId="0" borderId="0" xfId="0" applyFont="1" applyProtection="1"/>
    <xf numFmtId="0" fontId="4" fillId="0" borderId="30" xfId="0" applyFont="1" applyBorder="1" applyAlignment="1" applyProtection="1">
      <alignment horizontal="center" vertical="center"/>
    </xf>
    <xf numFmtId="0" fontId="4" fillId="0" borderId="0" xfId="0" applyFont="1" applyFill="1" applyBorder="1" applyAlignment="1" applyProtection="1">
      <alignment vertical="center"/>
    </xf>
    <xf numFmtId="0" fontId="4" fillId="2" borderId="1" xfId="0" applyFont="1" applyFill="1" applyBorder="1" applyAlignment="1" applyProtection="1">
      <alignment horizontal="center"/>
    </xf>
    <xf numFmtId="0" fontId="4" fillId="0" borderId="0" xfId="0" applyFont="1" applyFill="1" applyBorder="1" applyAlignment="1" applyProtection="1"/>
    <xf numFmtId="0" fontId="34" fillId="0" borderId="0" xfId="0" applyFont="1" applyFill="1" applyBorder="1" applyAlignment="1" applyProtection="1">
      <alignment vertical="center" wrapText="1"/>
    </xf>
    <xf numFmtId="0" fontId="33" fillId="3" borderId="11" xfId="0" applyFont="1" applyFill="1" applyBorder="1" applyAlignment="1" applyProtection="1">
      <alignment horizontal="center" vertical="center" wrapText="1"/>
    </xf>
    <xf numFmtId="0" fontId="33" fillId="3" borderId="11" xfId="0" applyFont="1" applyFill="1" applyBorder="1" applyAlignment="1" applyProtection="1">
      <alignment horizontal="center"/>
    </xf>
    <xf numFmtId="0" fontId="33" fillId="0" borderId="11" xfId="0" applyFont="1" applyFill="1" applyBorder="1" applyAlignment="1" applyProtection="1">
      <alignment horizontal="left" vertical="center" wrapText="1"/>
    </xf>
    <xf numFmtId="0" fontId="33" fillId="2" borderId="11" xfId="0" applyFont="1" applyFill="1" applyBorder="1" applyAlignment="1" applyProtection="1">
      <alignment horizontal="left" vertical="center" wrapText="1"/>
    </xf>
    <xf numFmtId="0" fontId="33" fillId="2" borderId="31" xfId="0" applyFont="1" applyFill="1" applyBorder="1" applyAlignment="1" applyProtection="1">
      <alignment horizontal="left" vertical="center" wrapText="1"/>
    </xf>
    <xf numFmtId="0" fontId="34" fillId="5" borderId="6" xfId="0" applyFont="1" applyFill="1" applyBorder="1" applyAlignment="1" applyProtection="1">
      <alignment vertical="center" wrapText="1"/>
    </xf>
    <xf numFmtId="0" fontId="34" fillId="5" borderId="7" xfId="0" applyFont="1" applyFill="1" applyBorder="1" applyAlignment="1" applyProtection="1">
      <alignment vertical="center" wrapText="1"/>
    </xf>
    <xf numFmtId="0" fontId="34" fillId="5" borderId="8" xfId="0" applyFont="1" applyFill="1" applyBorder="1" applyAlignment="1" applyProtection="1">
      <alignment vertical="center" wrapText="1"/>
    </xf>
    <xf numFmtId="0" fontId="33" fillId="3" borderId="11" xfId="0" applyFont="1" applyFill="1" applyBorder="1" applyAlignment="1" applyProtection="1">
      <alignment wrapText="1"/>
    </xf>
    <xf numFmtId="0" fontId="33" fillId="3" borderId="1" xfId="0" applyFont="1" applyFill="1" applyBorder="1" applyProtection="1"/>
    <xf numFmtId="0" fontId="33" fillId="3" borderId="1" xfId="0" applyFont="1" applyFill="1" applyBorder="1" applyAlignment="1" applyProtection="1">
      <alignment wrapText="1"/>
    </xf>
    <xf numFmtId="0" fontId="33" fillId="0" borderId="0" xfId="0" applyFont="1" applyBorder="1" applyProtection="1"/>
    <xf numFmtId="0" fontId="33" fillId="0" borderId="10" xfId="0" applyFont="1" applyBorder="1" applyProtection="1"/>
    <xf numFmtId="0" fontId="33" fillId="0" borderId="11" xfId="0" applyFont="1" applyFill="1" applyBorder="1" applyProtection="1"/>
    <xf numFmtId="0" fontId="33" fillId="0" borderId="1" xfId="0" applyFont="1" applyFill="1" applyBorder="1" applyProtection="1"/>
    <xf numFmtId="4" fontId="33" fillId="0" borderId="1" xfId="0" applyNumberFormat="1" applyFont="1" applyFill="1" applyBorder="1" applyProtection="1"/>
    <xf numFmtId="0" fontId="33" fillId="0" borderId="0" xfId="0" applyFont="1" applyAlignment="1" applyProtection="1">
      <alignment wrapText="1"/>
    </xf>
    <xf numFmtId="0" fontId="33" fillId="0" borderId="1" xfId="0" applyFont="1" applyFill="1" applyBorder="1" applyAlignment="1" applyProtection="1">
      <alignment wrapText="1"/>
    </xf>
    <xf numFmtId="0" fontId="33" fillId="0" borderId="11" xfId="0" applyFont="1" applyBorder="1" applyAlignment="1" applyProtection="1">
      <alignment horizontal="left" vertical="center"/>
    </xf>
    <xf numFmtId="0" fontId="33" fillId="2" borderId="1" xfId="0" applyFont="1" applyFill="1" applyBorder="1" applyAlignment="1" applyProtection="1">
      <alignment horizontal="left" vertical="center"/>
    </xf>
    <xf numFmtId="0" fontId="33" fillId="0" borderId="10" xfId="0" applyFont="1" applyBorder="1" applyAlignment="1" applyProtection="1">
      <alignment vertical="top"/>
    </xf>
    <xf numFmtId="4" fontId="33" fillId="2" borderId="1" xfId="0" applyNumberFormat="1" applyFont="1" applyFill="1" applyBorder="1" applyAlignment="1" applyProtection="1">
      <alignment horizontal="right" vertical="center"/>
    </xf>
    <xf numFmtId="0" fontId="33" fillId="0" borderId="31" xfId="0" applyFont="1" applyBorder="1" applyAlignment="1" applyProtection="1">
      <alignment horizontal="left" vertical="center"/>
    </xf>
    <xf numFmtId="0" fontId="33" fillId="2" borderId="25" xfId="0" applyFont="1" applyFill="1" applyBorder="1" applyAlignment="1" applyProtection="1">
      <alignment horizontal="left" vertical="center"/>
    </xf>
    <xf numFmtId="0" fontId="33" fillId="0" borderId="25" xfId="0" applyFont="1" applyBorder="1" applyAlignment="1" applyProtection="1">
      <alignment horizontal="left" vertical="center"/>
    </xf>
    <xf numFmtId="4" fontId="33" fillId="2" borderId="25" xfId="0" applyNumberFormat="1" applyFont="1" applyFill="1" applyBorder="1" applyAlignment="1" applyProtection="1">
      <alignment horizontal="right" vertical="center"/>
    </xf>
    <xf numFmtId="0" fontId="33" fillId="0" borderId="16" xfId="0" applyFont="1" applyBorder="1" applyProtection="1"/>
    <xf numFmtId="0" fontId="33" fillId="0" borderId="0" xfId="0" applyFont="1" applyFill="1" applyProtection="1"/>
    <xf numFmtId="0" fontId="33" fillId="0" borderId="0" xfId="0" applyFont="1" applyAlignment="1" applyProtection="1">
      <alignment horizontal="left" vertical="center"/>
    </xf>
    <xf numFmtId="0" fontId="6" fillId="3" borderId="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2" fillId="0" borderId="1" xfId="0" applyFont="1" applyBorder="1" applyAlignment="1">
      <alignment horizontal="center"/>
    </xf>
    <xf numFmtId="0" fontId="33" fillId="0" borderId="1" xfId="0" applyFont="1" applyBorder="1" applyAlignment="1" applyProtection="1">
      <alignment horizontal="left" vertical="center"/>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4" fontId="5" fillId="7" borderId="1" xfId="0" applyNumberFormat="1" applyFont="1" applyFill="1" applyBorder="1" applyAlignment="1" applyProtection="1">
      <alignment horizontal="right" vertical="center" wrapText="1"/>
    </xf>
    <xf numFmtId="4" fontId="5" fillId="7" borderId="25" xfId="0" applyNumberFormat="1" applyFont="1" applyFill="1" applyBorder="1" applyAlignment="1" applyProtection="1">
      <alignment horizontal="right" vertical="center" wrapText="1"/>
    </xf>
    <xf numFmtId="173" fontId="5" fillId="7" borderId="1" xfId="0" applyNumberFormat="1" applyFont="1" applyFill="1" applyBorder="1" applyAlignment="1" applyProtection="1">
      <alignment horizontal="right" vertical="center" wrapText="1"/>
      <protection locked="0"/>
    </xf>
    <xf numFmtId="168" fontId="12" fillId="0" borderId="0" xfId="0" applyNumberFormat="1" applyFont="1" applyBorder="1" applyAlignment="1" applyProtection="1">
      <alignment horizontal="left"/>
    </xf>
    <xf numFmtId="168" fontId="12" fillId="0" borderId="10" xfId="0" applyNumberFormat="1" applyFont="1" applyBorder="1" applyAlignment="1" applyProtection="1">
      <alignment horizontal="left"/>
    </xf>
    <xf numFmtId="0" fontId="24" fillId="6" borderId="11"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top"/>
    </xf>
    <xf numFmtId="0" fontId="3" fillId="5" borderId="5" xfId="0" applyFont="1" applyFill="1" applyBorder="1" applyAlignment="1" applyProtection="1">
      <alignment horizontal="center" vertical="top"/>
    </xf>
    <xf numFmtId="0" fontId="3" fillId="5" borderId="14" xfId="0" applyFont="1" applyFill="1" applyBorder="1" applyAlignment="1" applyProtection="1">
      <alignment horizontal="center" vertical="top"/>
    </xf>
    <xf numFmtId="166" fontId="0" fillId="15" borderId="1" xfId="0" applyNumberFormat="1" applyFill="1" applyBorder="1" applyAlignment="1" applyProtection="1">
      <alignment horizontal="left" vertical="top"/>
    </xf>
    <xf numFmtId="166" fontId="0" fillId="15" borderId="12" xfId="0" applyNumberFormat="1" applyFill="1" applyBorder="1" applyAlignment="1" applyProtection="1">
      <alignment horizontal="left" vertical="top"/>
    </xf>
    <xf numFmtId="49" fontId="0" fillId="15" borderId="4" xfId="0" applyNumberFormat="1" applyFill="1" applyBorder="1" applyAlignment="1" applyProtection="1">
      <alignment horizontal="center" vertical="top" wrapText="1"/>
    </xf>
    <xf numFmtId="49" fontId="0" fillId="15" borderId="5" xfId="0" applyNumberFormat="1" applyFill="1" applyBorder="1" applyAlignment="1" applyProtection="1">
      <alignment horizontal="center" vertical="top" wrapText="1"/>
    </xf>
    <xf numFmtId="49" fontId="0" fillId="15" borderId="14" xfId="0" applyNumberFormat="1" applyFill="1" applyBorder="1" applyAlignment="1" applyProtection="1">
      <alignment horizontal="center" vertical="top" wrapText="1"/>
    </xf>
    <xf numFmtId="0" fontId="0" fillId="3" borderId="11" xfId="0" applyFill="1" applyBorder="1" applyAlignment="1" applyProtection="1">
      <alignment horizontal="left" vertical="top"/>
    </xf>
    <xf numFmtId="0" fontId="0" fillId="3" borderId="1" xfId="0" applyFill="1" applyBorder="1" applyAlignment="1" applyProtection="1">
      <alignment horizontal="left" vertical="top"/>
    </xf>
    <xf numFmtId="0" fontId="0" fillId="3" borderId="13" xfId="0" applyFill="1" applyBorder="1" applyAlignment="1" applyProtection="1">
      <alignment horizontal="left" vertical="center"/>
    </xf>
    <xf numFmtId="0" fontId="0" fillId="3" borderId="3" xfId="0" applyFill="1" applyBorder="1" applyAlignment="1" applyProtection="1">
      <alignment horizontal="left" vertical="center"/>
    </xf>
    <xf numFmtId="165" fontId="0" fillId="15" borderId="4" xfId="0" applyNumberFormat="1" applyFill="1" applyBorder="1" applyAlignment="1" applyProtection="1">
      <alignment horizontal="left" vertical="center"/>
    </xf>
    <xf numFmtId="165" fontId="0" fillId="15" borderId="5" xfId="0" applyNumberFormat="1" applyFill="1" applyBorder="1" applyAlignment="1" applyProtection="1">
      <alignment horizontal="left" vertical="center"/>
    </xf>
    <xf numFmtId="165" fontId="0" fillId="15" borderId="14" xfId="0" applyNumberFormat="1" applyFill="1" applyBorder="1" applyAlignment="1" applyProtection="1">
      <alignment horizontal="left" vertical="center"/>
    </xf>
    <xf numFmtId="49" fontId="0" fillId="15" borderId="4" xfId="0" applyNumberFormat="1" applyFill="1" applyBorder="1" applyAlignment="1" applyProtection="1">
      <alignment horizontal="center" vertical="top"/>
    </xf>
    <xf numFmtId="49" fontId="0" fillId="15" borderId="5" xfId="0" applyNumberFormat="1" applyFill="1" applyBorder="1" applyAlignment="1" applyProtection="1">
      <alignment horizontal="center" vertical="top"/>
    </xf>
    <xf numFmtId="49" fontId="0" fillId="15" borderId="14" xfId="0" applyNumberFormat="1" applyFill="1" applyBorder="1" applyAlignment="1" applyProtection="1">
      <alignment horizontal="center" vertical="top"/>
    </xf>
    <xf numFmtId="0" fontId="0" fillId="3" borderId="13"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5" xfId="0" applyFill="1" applyBorder="1" applyAlignment="1" applyProtection="1">
      <alignment horizontal="left" vertical="top"/>
    </xf>
    <xf numFmtId="49" fontId="0" fillId="15" borderId="4" xfId="0" applyNumberFormat="1" applyFill="1" applyBorder="1" applyAlignment="1" applyProtection="1">
      <alignment horizontal="left" vertical="center" wrapText="1"/>
    </xf>
    <xf numFmtId="49" fontId="0" fillId="15" borderId="5" xfId="0" applyNumberFormat="1" applyFill="1" applyBorder="1" applyAlignment="1" applyProtection="1">
      <alignment horizontal="left" vertical="center" wrapText="1"/>
    </xf>
    <xf numFmtId="49" fontId="0" fillId="15" borderId="14" xfId="0" applyNumberFormat="1" applyFill="1" applyBorder="1" applyAlignment="1" applyProtection="1">
      <alignment horizontal="left" vertical="center" wrapText="1"/>
    </xf>
    <xf numFmtId="49" fontId="0" fillId="15" borderId="4" xfId="0" applyNumberFormat="1" applyFill="1" applyBorder="1" applyAlignment="1" applyProtection="1">
      <alignment horizontal="left" vertical="center"/>
    </xf>
    <xf numFmtId="49" fontId="0" fillId="15" borderId="5" xfId="0" applyNumberFormat="1" applyFill="1" applyBorder="1" applyAlignment="1" applyProtection="1">
      <alignment horizontal="left" vertical="center"/>
    </xf>
    <xf numFmtId="49" fontId="0" fillId="15" borderId="14" xfId="0" applyNumberFormat="1" applyFill="1" applyBorder="1" applyAlignment="1" applyProtection="1">
      <alignment horizontal="left" vertical="center"/>
    </xf>
    <xf numFmtId="0" fontId="14" fillId="3" borderId="1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25" fillId="11" borderId="1" xfId="0" applyFont="1" applyFill="1" applyBorder="1" applyAlignment="1" applyProtection="1">
      <alignment horizontal="left" vertical="center"/>
    </xf>
    <xf numFmtId="0" fontId="25" fillId="11" borderId="12" xfId="0" applyFont="1" applyFill="1" applyBorder="1" applyAlignment="1" applyProtection="1">
      <alignment horizontal="left" vertical="center"/>
    </xf>
    <xf numFmtId="0" fontId="3" fillId="5" borderId="11" xfId="0" applyFont="1" applyFill="1" applyBorder="1" applyAlignment="1" applyProtection="1">
      <alignment horizontal="left" vertical="top"/>
    </xf>
    <xf numFmtId="0" fontId="3" fillId="5" borderId="1"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0" fillId="3" borderId="11"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4" fillId="11" borderId="4" xfId="0" applyFont="1" applyFill="1" applyBorder="1" applyAlignment="1" applyProtection="1">
      <alignment horizontal="justify" vertical="center" wrapText="1"/>
    </xf>
    <xf numFmtId="0" fontId="4" fillId="11" borderId="5" xfId="0" applyFont="1" applyFill="1" applyBorder="1" applyAlignment="1" applyProtection="1">
      <alignment horizontal="justify" vertical="center" wrapText="1"/>
    </xf>
    <xf numFmtId="0" fontId="4" fillId="11" borderId="14" xfId="0" applyFont="1" applyFill="1" applyBorder="1" applyAlignment="1" applyProtection="1">
      <alignment horizontal="justify" vertical="center" wrapText="1"/>
    </xf>
    <xf numFmtId="0" fontId="4" fillId="11" borderId="1" xfId="0" applyFont="1" applyFill="1" applyBorder="1" applyAlignment="1" applyProtection="1">
      <alignment horizontal="left" vertical="center"/>
    </xf>
    <xf numFmtId="0" fontId="4" fillId="11" borderId="12" xfId="0" applyFont="1" applyFill="1" applyBorder="1" applyAlignment="1" applyProtection="1">
      <alignment horizontal="left" vertical="center"/>
    </xf>
    <xf numFmtId="0" fontId="4" fillId="11" borderId="4" xfId="0" applyFont="1" applyFill="1" applyBorder="1" applyAlignment="1" applyProtection="1">
      <alignment horizontal="left" vertical="center" wrapText="1"/>
    </xf>
    <xf numFmtId="0" fontId="4" fillId="11" borderId="5" xfId="0" applyFont="1" applyFill="1" applyBorder="1" applyAlignment="1" applyProtection="1">
      <alignment horizontal="left" vertical="center" wrapText="1"/>
    </xf>
    <xf numFmtId="0" fontId="4" fillId="11" borderId="14" xfId="0" applyFont="1" applyFill="1" applyBorder="1" applyAlignment="1" applyProtection="1">
      <alignment horizontal="left"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3" fillId="5" borderId="21" xfId="0" applyFont="1" applyFill="1" applyBorder="1" applyAlignment="1" applyProtection="1">
      <alignment horizontal="left" vertical="top"/>
    </xf>
    <xf numFmtId="0" fontId="3" fillId="5" borderId="22" xfId="0" applyFont="1" applyFill="1" applyBorder="1" applyAlignment="1" applyProtection="1">
      <alignment horizontal="left" vertical="top"/>
    </xf>
    <xf numFmtId="0" fontId="3" fillId="5" borderId="23" xfId="0" applyFont="1" applyFill="1" applyBorder="1" applyAlignment="1" applyProtection="1">
      <alignment horizontal="left" vertical="top"/>
    </xf>
    <xf numFmtId="0" fontId="0" fillId="3" borderId="11" xfId="0" applyFill="1" applyBorder="1" applyAlignment="1" applyProtection="1">
      <alignment horizontal="left" vertical="center"/>
    </xf>
    <xf numFmtId="0" fontId="0" fillId="3" borderId="1" xfId="0" applyFill="1" applyBorder="1" applyAlignment="1" applyProtection="1">
      <alignment horizontal="left" vertical="center"/>
    </xf>
    <xf numFmtId="0" fontId="5" fillId="2" borderId="1"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15" borderId="1" xfId="0" applyFont="1" applyFill="1" applyBorder="1" applyAlignment="1" applyProtection="1">
      <alignment horizontal="left"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5" borderId="18" xfId="0" applyFont="1" applyFill="1" applyBorder="1" applyAlignment="1" applyProtection="1">
      <alignment horizontal="left" vertical="center"/>
    </xf>
    <xf numFmtId="0" fontId="3" fillId="5" borderId="19" xfId="0" applyFont="1" applyFill="1" applyBorder="1" applyAlignment="1" applyProtection="1">
      <alignment horizontal="left" vertical="center"/>
    </xf>
    <xf numFmtId="0" fontId="3" fillId="5" borderId="20" xfId="0" applyFont="1" applyFill="1" applyBorder="1" applyAlignment="1" applyProtection="1">
      <alignment horizontal="left" vertical="center"/>
    </xf>
    <xf numFmtId="0" fontId="2" fillId="0" borderId="11" xfId="0" applyFont="1" applyBorder="1" applyAlignment="1">
      <alignment horizontal="center"/>
    </xf>
    <xf numFmtId="0" fontId="2" fillId="0" borderId="1"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right" vertical="center" wrapText="1"/>
    </xf>
    <xf numFmtId="0" fontId="27" fillId="0" borderId="1" xfId="0" applyFont="1" applyFill="1" applyBorder="1" applyAlignment="1">
      <alignment horizontal="right" vertical="center" wrapText="1"/>
    </xf>
    <xf numFmtId="0" fontId="2" fillId="0" borderId="31"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26" fillId="4" borderId="1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4"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 xfId="0" applyFont="1" applyFill="1" applyBorder="1" applyAlignment="1">
      <alignment horizontal="left" vertical="center" wrapText="1"/>
    </xf>
    <xf numFmtId="2" fontId="2" fillId="0" borderId="1" xfId="0" applyNumberFormat="1" applyFont="1" applyBorder="1" applyAlignment="1">
      <alignment horizontal="right"/>
    </xf>
    <xf numFmtId="0" fontId="2" fillId="0" borderId="12" xfId="0" applyFont="1" applyBorder="1" applyAlignment="1">
      <alignment horizontal="right"/>
    </xf>
    <xf numFmtId="2" fontId="2" fillId="0" borderId="12" xfId="0" applyNumberFormat="1" applyFont="1" applyBorder="1" applyAlignment="1">
      <alignment horizontal="right"/>
    </xf>
    <xf numFmtId="4" fontId="2" fillId="0" borderId="1" xfId="0" applyNumberFormat="1" applyFont="1" applyBorder="1" applyAlignment="1">
      <alignment horizontal="right" vertical="center"/>
    </xf>
    <xf numFmtId="4" fontId="2" fillId="0" borderId="12" xfId="0" applyNumberFormat="1" applyFont="1" applyBorder="1" applyAlignment="1">
      <alignment horizontal="right" vertical="center"/>
    </xf>
    <xf numFmtId="0" fontId="27" fillId="4" borderId="1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6" fillId="4" borderId="12" xfId="0" applyFont="1" applyFill="1" applyBorder="1" applyAlignment="1">
      <alignment horizontal="center" vertical="center" wrapText="1"/>
    </xf>
    <xf numFmtId="3" fontId="2" fillId="0" borderId="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7" fillId="0" borderId="11" xfId="0" applyFont="1" applyFill="1" applyBorder="1" applyAlignment="1">
      <alignment horizontal="left" vertical="center"/>
    </xf>
    <xf numFmtId="0" fontId="27" fillId="0" borderId="1" xfId="0" applyFont="1" applyFill="1" applyBorder="1" applyAlignment="1">
      <alignment horizontal="left" vertical="center"/>
    </xf>
    <xf numFmtId="0" fontId="3" fillId="5" borderId="21" xfId="0" applyFont="1" applyFill="1" applyBorder="1" applyAlignment="1">
      <alignment horizontal="center" vertical="top"/>
    </xf>
    <xf numFmtId="0" fontId="3" fillId="5" borderId="22" xfId="0" applyFont="1" applyFill="1" applyBorder="1" applyAlignment="1">
      <alignment horizontal="center" vertical="top"/>
    </xf>
    <xf numFmtId="0" fontId="3" fillId="5" borderId="23" xfId="0" applyFont="1" applyFill="1" applyBorder="1" applyAlignment="1">
      <alignment horizontal="center" vertical="top"/>
    </xf>
    <xf numFmtId="0" fontId="3" fillId="5" borderId="21" xfId="0" applyFont="1" applyFill="1" applyBorder="1" applyAlignment="1">
      <alignment horizontal="left" vertical="top"/>
    </xf>
    <xf numFmtId="0" fontId="3" fillId="5" borderId="22" xfId="0" applyFont="1" applyFill="1" applyBorder="1" applyAlignment="1">
      <alignment horizontal="left" vertical="top"/>
    </xf>
    <xf numFmtId="0" fontId="3" fillId="5" borderId="23" xfId="0" applyFont="1" applyFill="1" applyBorder="1" applyAlignment="1">
      <alignment horizontal="left" vertical="top"/>
    </xf>
    <xf numFmtId="0" fontId="6" fillId="0" borderId="0" xfId="0" applyFont="1" applyFill="1" applyBorder="1" applyAlignment="1">
      <alignment horizontal="center"/>
    </xf>
    <xf numFmtId="0" fontId="6" fillId="13" borderId="37" xfId="0" applyNumberFormat="1" applyFont="1" applyFill="1" applyBorder="1" applyAlignment="1">
      <alignment horizontal="center"/>
    </xf>
    <xf numFmtId="0" fontId="6" fillId="13" borderId="38" xfId="0" applyNumberFormat="1" applyFont="1" applyFill="1" applyBorder="1" applyAlignment="1">
      <alignment horizontal="center"/>
    </xf>
    <xf numFmtId="0" fontId="29" fillId="3" borderId="1" xfId="8" applyFont="1" applyFill="1" applyBorder="1" applyAlignment="1">
      <alignment horizontal="center"/>
    </xf>
    <xf numFmtId="0" fontId="21" fillId="3" borderId="1" xfId="8" applyFont="1" applyFill="1" applyBorder="1" applyAlignment="1">
      <alignment horizontal="center"/>
    </xf>
    <xf numFmtId="0" fontId="2" fillId="0" borderId="0" xfId="0" applyFont="1" applyAlignment="1">
      <alignment horizontal="left" vertical="top" wrapText="1"/>
    </xf>
    <xf numFmtId="0" fontId="36" fillId="7" borderId="1" xfId="0" applyFont="1" applyFill="1" applyBorder="1" applyAlignment="1" applyProtection="1">
      <alignment horizontal="center" vertical="center" wrapText="1"/>
    </xf>
    <xf numFmtId="0" fontId="33" fillId="0" borderId="1" xfId="0" applyFont="1" applyBorder="1" applyAlignment="1" applyProtection="1">
      <alignment horizontal="left" vertical="center"/>
    </xf>
    <xf numFmtId="0" fontId="33" fillId="0" borderId="28" xfId="0" applyFont="1" applyBorder="1" applyAlignment="1" applyProtection="1">
      <alignment horizontal="center"/>
    </xf>
    <xf numFmtId="0" fontId="33" fillId="0" borderId="2" xfId="0" applyFont="1" applyBorder="1" applyAlignment="1" applyProtection="1">
      <alignment horizontal="center"/>
    </xf>
    <xf numFmtId="0" fontId="33" fillId="0" borderId="32" xfId="0" applyFont="1" applyBorder="1" applyAlignment="1" applyProtection="1">
      <alignment horizontal="center"/>
    </xf>
    <xf numFmtId="0" fontId="33" fillId="0" borderId="0" xfId="0" applyFont="1" applyBorder="1" applyAlignment="1" applyProtection="1">
      <alignment horizontal="center"/>
    </xf>
    <xf numFmtId="0" fontId="33" fillId="0" borderId="10" xfId="0" applyFont="1" applyBorder="1" applyAlignment="1" applyProtection="1">
      <alignment horizontal="center"/>
    </xf>
    <xf numFmtId="0" fontId="33" fillId="0" borderId="16" xfId="0" applyFont="1" applyBorder="1" applyAlignment="1" applyProtection="1">
      <alignment horizontal="center"/>
    </xf>
    <xf numFmtId="0" fontId="33" fillId="0" borderId="17" xfId="0" applyFont="1" applyBorder="1" applyAlignment="1" applyProtection="1">
      <alignment horizontal="center"/>
    </xf>
    <xf numFmtId="0" fontId="33" fillId="3" borderId="13" xfId="0" applyFont="1" applyFill="1" applyBorder="1" applyAlignment="1" applyProtection="1">
      <alignment horizontal="center" vertical="center" wrapText="1"/>
    </xf>
    <xf numFmtId="0" fontId="33" fillId="3" borderId="5" xfId="0" applyFont="1" applyFill="1" applyBorder="1" applyAlignment="1" applyProtection="1">
      <alignment horizontal="center" vertical="center" wrapText="1"/>
    </xf>
    <xf numFmtId="0" fontId="33" fillId="3" borderId="3" xfId="0" applyFont="1" applyFill="1" applyBorder="1" applyAlignment="1" applyProtection="1">
      <alignment horizontal="center" vertical="center" wrapText="1"/>
    </xf>
    <xf numFmtId="0" fontId="33" fillId="0" borderId="0" xfId="0" applyFont="1" applyBorder="1" applyAlignment="1" applyProtection="1">
      <alignment horizontal="left" vertical="center" wrapText="1"/>
    </xf>
    <xf numFmtId="0" fontId="33" fillId="0" borderId="10" xfId="0" applyFont="1" applyBorder="1" applyAlignment="1" applyProtection="1">
      <alignment horizontal="left" vertical="center" wrapText="1"/>
    </xf>
    <xf numFmtId="0" fontId="34" fillId="5" borderId="21" xfId="0" applyFont="1" applyFill="1" applyBorder="1" applyAlignment="1" applyProtection="1">
      <alignment horizontal="center" vertical="center" wrapText="1"/>
    </xf>
    <xf numFmtId="0" fontId="34" fillId="5" borderId="22" xfId="0" applyFont="1" applyFill="1" applyBorder="1" applyAlignment="1" applyProtection="1">
      <alignment horizontal="center" vertical="center" wrapText="1"/>
    </xf>
    <xf numFmtId="0" fontId="34" fillId="5" borderId="23" xfId="0" applyFont="1" applyFill="1" applyBorder="1" applyAlignment="1" applyProtection="1">
      <alignment horizontal="center" vertical="center" wrapText="1"/>
    </xf>
    <xf numFmtId="0" fontId="33" fillId="0" borderId="31" xfId="0" applyFont="1" applyBorder="1" applyAlignment="1" applyProtection="1">
      <alignment vertical="center" wrapText="1"/>
    </xf>
    <xf numFmtId="0" fontId="33" fillId="0" borderId="25" xfId="0" applyFont="1" applyBorder="1" applyAlignment="1" applyProtection="1">
      <alignment vertical="center" wrapText="1"/>
    </xf>
    <xf numFmtId="0" fontId="33" fillId="0" borderId="24" xfId="0" applyFont="1" applyBorder="1" applyAlignment="1" applyProtection="1">
      <alignment vertical="center" wrapText="1"/>
    </xf>
    <xf numFmtId="0" fontId="33" fillId="0" borderId="31" xfId="0" applyFont="1" applyBorder="1" applyAlignment="1" applyProtection="1">
      <alignment horizontal="left" vertical="center" wrapText="1"/>
    </xf>
    <xf numFmtId="0" fontId="33" fillId="0" borderId="25"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0" fontId="33" fillId="0" borderId="11" xfId="0" applyFont="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33" fillId="0" borderId="34" xfId="0" applyFont="1" applyBorder="1" applyAlignment="1" applyProtection="1">
      <alignment horizontal="left" vertical="center" wrapText="1"/>
    </xf>
    <xf numFmtId="0" fontId="33" fillId="0" borderId="35" xfId="0" applyFont="1" applyBorder="1" applyAlignment="1" applyProtection="1">
      <alignment horizontal="left" vertical="center" wrapText="1"/>
    </xf>
    <xf numFmtId="0" fontId="33" fillId="0" borderId="36" xfId="0" applyFont="1" applyBorder="1" applyAlignment="1" applyProtection="1">
      <alignment horizontal="left" vertical="center" wrapText="1"/>
    </xf>
    <xf numFmtId="0" fontId="33" fillId="0" borderId="4" xfId="0" applyFont="1" applyBorder="1" applyAlignment="1" applyProtection="1">
      <alignment horizontal="left" vertical="top" wrapText="1"/>
    </xf>
    <xf numFmtId="0" fontId="33" fillId="0" borderId="14" xfId="0" applyFont="1" applyBorder="1" applyAlignment="1" applyProtection="1">
      <alignment horizontal="left" vertical="top" wrapText="1"/>
    </xf>
    <xf numFmtId="0" fontId="33" fillId="0" borderId="10" xfId="0" applyFont="1" applyBorder="1" applyAlignment="1" applyProtection="1">
      <alignment horizontal="left" vertical="top" wrapText="1"/>
    </xf>
    <xf numFmtId="0" fontId="33" fillId="0" borderId="17" xfId="0" applyFont="1" applyBorder="1" applyAlignment="1" applyProtection="1">
      <alignment horizontal="left" vertical="top" wrapText="1"/>
    </xf>
    <xf numFmtId="0" fontId="38" fillId="0" borderId="4" xfId="0" applyFont="1" applyBorder="1" applyAlignment="1">
      <alignment horizontal="center"/>
    </xf>
    <xf numFmtId="0" fontId="38" fillId="0" borderId="5" xfId="0" applyFont="1" applyBorder="1" applyAlignment="1">
      <alignment horizontal="center"/>
    </xf>
    <xf numFmtId="0" fontId="38" fillId="0" borderId="3" xfId="0" applyFont="1" applyBorder="1" applyAlignment="1">
      <alignment horizontal="center"/>
    </xf>
    <xf numFmtId="0" fontId="38" fillId="0" borderId="1" xfId="0" applyFont="1" applyBorder="1" applyAlignment="1">
      <alignment horizontal="center"/>
    </xf>
    <xf numFmtId="0" fontId="37" fillId="5"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9" fillId="0" borderId="16" xfId="0" applyFont="1" applyBorder="1" applyAlignment="1" applyProtection="1">
      <alignment horizontal="center"/>
    </xf>
  </cellXfs>
  <cellStyles count="9">
    <cellStyle name="Εισαγωγή 2" xfId="4"/>
    <cellStyle name="Έξοδος 2" xfId="5"/>
    <cellStyle name="Επικεφαλίδα 1" xfId="8" builtinId="16"/>
    <cellStyle name="Κανονικό" xfId="0" builtinId="0"/>
    <cellStyle name="Κανονικό 2" xfId="2"/>
    <cellStyle name="Κόμμα 2" xfId="6"/>
    <cellStyle name="Ουδέτερο 2" xfId="7"/>
    <cellStyle name="Ποσοστό" xfId="1" builtinId="5"/>
    <cellStyle name="Ποσοστό 2" xfId="3"/>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Medium9"/>
  <colors>
    <mruColors>
      <color rgb="FFFFFFB4"/>
      <color rgb="FFFFFF8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l-GR"/>
              <a:t>Αποπληρωμή</a:t>
            </a:r>
            <a:r>
              <a:rPr lang="el-GR" baseline="0"/>
              <a:t> Δανείου</a:t>
            </a:r>
            <a:endParaRPr lang="en-GB"/>
          </a:p>
        </c:rich>
      </c:tx>
      <c:overlay val="0"/>
    </c:title>
    <c:autoTitleDeleted val="0"/>
    <c:plotArea>
      <c:layout/>
      <c:scatterChart>
        <c:scatterStyle val="lineMarker"/>
        <c:varyColors val="0"/>
        <c:ser>
          <c:idx val="0"/>
          <c:order val="0"/>
          <c:xVal>
            <c:numRef>
              <c:f>Δάνειο!$G$5:$G$14</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Δάνειο!$L$5:$L$14</c:f>
              <c:numCache>
                <c:formatCode>#,##0.00\ [$€-408]</c:formatCode>
                <c:ptCount val="10"/>
                <c:pt idx="0">
                  <c:v>0</c:v>
                </c:pt>
                <c:pt idx="1">
                  <c:v>0</c:v>
                </c:pt>
                <c:pt idx="2">
                  <c:v>0</c:v>
                </c:pt>
                <c:pt idx="3">
                  <c:v>0</c:v>
                </c:pt>
                <c:pt idx="4">
                  <c:v>0</c:v>
                </c:pt>
                <c:pt idx="5">
                  <c:v>0</c:v>
                </c:pt>
                <c:pt idx="6">
                  <c:v>0</c:v>
                </c:pt>
                <c:pt idx="7">
                  <c:v>0</c:v>
                </c:pt>
                <c:pt idx="8">
                  <c:v>0</c:v>
                </c:pt>
                <c:pt idx="9">
                  <c:v>0</c:v>
                </c:pt>
              </c:numCache>
            </c:numRef>
          </c:yVal>
          <c:smooth val="0"/>
          <c:extLst>
            <c:ext xmlns:c16="http://schemas.microsoft.com/office/drawing/2014/chart" uri="{C3380CC4-5D6E-409C-BE32-E72D297353CC}">
              <c16:uniqueId val="{00000000-31C7-47FA-918E-720147D48D71}"/>
            </c:ext>
          </c:extLst>
        </c:ser>
        <c:dLbls>
          <c:showLegendKey val="0"/>
          <c:showVal val="0"/>
          <c:showCatName val="0"/>
          <c:showSerName val="0"/>
          <c:showPercent val="0"/>
          <c:showBubbleSize val="0"/>
        </c:dLbls>
        <c:axId val="112662016"/>
        <c:axId val="112663936"/>
      </c:scatterChart>
      <c:valAx>
        <c:axId val="112662016"/>
        <c:scaling>
          <c:orientation val="minMax"/>
          <c:max val="10"/>
        </c:scaling>
        <c:delete val="0"/>
        <c:axPos val="b"/>
        <c:title>
          <c:tx>
            <c:rich>
              <a:bodyPr/>
              <a:lstStyle/>
              <a:p>
                <a:pPr>
                  <a:defRPr/>
                </a:pPr>
                <a:r>
                  <a:rPr lang="el-GR"/>
                  <a:t>Δόση</a:t>
                </a:r>
              </a:p>
            </c:rich>
          </c:tx>
          <c:overlay val="0"/>
        </c:title>
        <c:numFmt formatCode="General" sourceLinked="1"/>
        <c:majorTickMark val="none"/>
        <c:minorTickMark val="none"/>
        <c:tickLblPos val="nextTo"/>
        <c:crossAx val="112663936"/>
        <c:crosses val="autoZero"/>
        <c:crossBetween val="midCat"/>
        <c:majorUnit val="1"/>
      </c:valAx>
      <c:valAx>
        <c:axId val="112663936"/>
        <c:scaling>
          <c:orientation val="minMax"/>
        </c:scaling>
        <c:delete val="0"/>
        <c:axPos val="l"/>
        <c:majorGridlines/>
        <c:numFmt formatCode="#,##0.00\ [$€-408]" sourceLinked="1"/>
        <c:majorTickMark val="none"/>
        <c:minorTickMark val="none"/>
        <c:tickLblPos val="nextTo"/>
        <c:crossAx val="1126620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125702</xdr:colOff>
      <xdr:row>1</xdr:row>
      <xdr:rowOff>161100</xdr:rowOff>
    </xdr:from>
    <xdr:to>
      <xdr:col>4</xdr:col>
      <xdr:colOff>103289</xdr:colOff>
      <xdr:row>5</xdr:row>
      <xdr:rowOff>31953</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3680" y="359883"/>
          <a:ext cx="1940566" cy="632853"/>
        </a:xfrm>
        <a:prstGeom prst="rect">
          <a:avLst/>
        </a:prstGeom>
      </xdr:spPr>
    </xdr:pic>
    <xdr:clientData/>
  </xdr:twoCellAnchor>
  <xdr:twoCellAnchor editAs="oneCell">
    <xdr:from>
      <xdr:col>8</xdr:col>
      <xdr:colOff>209961</xdr:colOff>
      <xdr:row>2</xdr:row>
      <xdr:rowOff>51726</xdr:rowOff>
    </xdr:from>
    <xdr:to>
      <xdr:col>9</xdr:col>
      <xdr:colOff>468570</xdr:colOff>
      <xdr:row>4</xdr:row>
      <xdr:rowOff>165655</xdr:rowOff>
    </xdr:to>
    <xdr:pic>
      <xdr:nvPicPr>
        <xdr:cNvPr id="6" name="Εικόνα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48222" y="441009"/>
          <a:ext cx="912935" cy="494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16</xdr:row>
      <xdr:rowOff>15240</xdr:rowOff>
    </xdr:from>
    <xdr:to>
      <xdr:col>4</xdr:col>
      <xdr:colOff>264795</xdr:colOff>
      <xdr:row>30</xdr:row>
      <xdr:rowOff>175260</xdr:rowOff>
    </xdr:to>
    <xdr:graphicFrame macro="">
      <xdr:nvGraphicFramePr>
        <xdr:cNvPr id="2"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0"/>
  <sheetViews>
    <sheetView tabSelected="1" zoomScaleNormal="100" zoomScalePageLayoutView="115" workbookViewId="0">
      <selection activeCell="R2" sqref="R2"/>
    </sheetView>
  </sheetViews>
  <sheetFormatPr defaultColWidth="8.85546875" defaultRowHeight="15" x14ac:dyDescent="0.25"/>
  <cols>
    <col min="1" max="1" width="0.85546875" style="16" customWidth="1"/>
    <col min="2" max="9" width="8.85546875" style="16"/>
    <col min="10" max="10" width="8.5703125" style="16" customWidth="1"/>
    <col min="11" max="11" width="0.5703125" style="16" customWidth="1"/>
    <col min="12" max="16384" width="8.85546875" style="16"/>
  </cols>
  <sheetData>
    <row r="1" spans="2:11" ht="30.75" customHeight="1" thickBot="1" x14ac:dyDescent="0.4">
      <c r="B1" s="344" t="s">
        <v>302</v>
      </c>
      <c r="C1" s="344"/>
      <c r="D1" s="344"/>
      <c r="E1" s="344"/>
      <c r="F1" s="344"/>
      <c r="G1" s="344"/>
      <c r="H1" s="344"/>
      <c r="I1" s="344"/>
      <c r="J1" s="344"/>
    </row>
    <row r="2" spans="2:11" ht="15" customHeight="1" x14ac:dyDescent="0.25">
      <c r="B2" s="17"/>
      <c r="C2" s="18"/>
      <c r="D2" s="18"/>
      <c r="E2" s="18"/>
      <c r="F2" s="18"/>
      <c r="G2" s="18"/>
      <c r="H2" s="18"/>
      <c r="I2" s="18"/>
      <c r="J2" s="19"/>
    </row>
    <row r="3" spans="2:11" x14ac:dyDescent="0.25">
      <c r="B3" s="20"/>
      <c r="C3" s="21"/>
      <c r="D3" s="21"/>
      <c r="E3" s="21"/>
      <c r="F3" s="21"/>
      <c r="G3" s="21"/>
      <c r="H3" s="21"/>
      <c r="I3" s="21"/>
      <c r="J3" s="22"/>
    </row>
    <row r="4" spans="2:11" x14ac:dyDescent="0.25">
      <c r="B4" s="20"/>
      <c r="C4" s="21"/>
      <c r="D4" s="21"/>
      <c r="E4" s="21"/>
      <c r="F4" s="21"/>
      <c r="G4" s="21"/>
      <c r="H4" s="21"/>
      <c r="I4" s="21"/>
      <c r="J4" s="22"/>
    </row>
    <row r="5" spans="2:11" x14ac:dyDescent="0.25">
      <c r="B5" s="20"/>
      <c r="C5" s="21"/>
      <c r="D5" s="21"/>
      <c r="E5" s="21"/>
      <c r="F5" s="21"/>
      <c r="G5" s="21"/>
      <c r="H5" s="21"/>
      <c r="I5" s="21"/>
      <c r="J5" s="22"/>
    </row>
    <row r="6" spans="2:11" x14ac:dyDescent="0.25">
      <c r="B6" s="20"/>
      <c r="C6" s="21"/>
      <c r="D6" s="21"/>
      <c r="E6" s="21"/>
      <c r="F6" s="21"/>
      <c r="G6" s="21"/>
      <c r="H6" s="21"/>
      <c r="I6" s="21"/>
      <c r="J6" s="22"/>
    </row>
    <row r="7" spans="2:11" x14ac:dyDescent="0.25">
      <c r="B7" s="20"/>
      <c r="C7" s="21"/>
      <c r="D7" s="21"/>
      <c r="E7" s="21"/>
      <c r="F7" s="21"/>
      <c r="G7" s="21"/>
      <c r="H7" s="21"/>
      <c r="I7" s="21"/>
      <c r="J7" s="22"/>
    </row>
    <row r="8" spans="2:11" x14ac:dyDescent="0.25">
      <c r="B8" s="198" t="s">
        <v>169</v>
      </c>
      <c r="C8" s="199"/>
      <c r="D8" s="199"/>
      <c r="E8" s="199"/>
      <c r="F8" s="199"/>
      <c r="G8" s="199"/>
      <c r="H8" s="199"/>
      <c r="I8" s="199"/>
      <c r="J8" s="200"/>
    </row>
    <row r="9" spans="2:11" x14ac:dyDescent="0.25">
      <c r="B9" s="198"/>
      <c r="C9" s="199"/>
      <c r="D9" s="199"/>
      <c r="E9" s="199"/>
      <c r="F9" s="199"/>
      <c r="G9" s="199"/>
      <c r="H9" s="199"/>
      <c r="I9" s="199"/>
      <c r="J9" s="200"/>
    </row>
    <row r="10" spans="2:11" x14ac:dyDescent="0.25">
      <c r="B10" s="198"/>
      <c r="C10" s="199"/>
      <c r="D10" s="199"/>
      <c r="E10" s="199"/>
      <c r="F10" s="199"/>
      <c r="G10" s="199"/>
      <c r="H10" s="199"/>
      <c r="I10" s="199"/>
      <c r="J10" s="200"/>
    </row>
    <row r="11" spans="2:11" x14ac:dyDescent="0.25">
      <c r="B11" s="198"/>
      <c r="C11" s="199"/>
      <c r="D11" s="199"/>
      <c r="E11" s="199"/>
      <c r="F11" s="199"/>
      <c r="G11" s="199"/>
      <c r="H11" s="199"/>
      <c r="I11" s="199"/>
      <c r="J11" s="200"/>
    </row>
    <row r="12" spans="2:11" x14ac:dyDescent="0.25">
      <c r="B12" s="20"/>
      <c r="C12" s="21"/>
      <c r="D12" s="21"/>
      <c r="E12" s="21"/>
      <c r="F12" s="21"/>
      <c r="G12" s="21"/>
      <c r="H12" s="21"/>
      <c r="I12" s="21"/>
      <c r="J12" s="22"/>
    </row>
    <row r="13" spans="2:11" ht="15.75" x14ac:dyDescent="0.25">
      <c r="B13" s="201" t="s">
        <v>3</v>
      </c>
      <c r="C13" s="202"/>
      <c r="D13" s="202"/>
      <c r="E13" s="202"/>
      <c r="F13" s="202"/>
      <c r="G13" s="202"/>
      <c r="H13" s="202"/>
      <c r="I13" s="202"/>
      <c r="J13" s="203"/>
    </row>
    <row r="14" spans="2:11" x14ac:dyDescent="0.25">
      <c r="B14" s="209" t="s">
        <v>61</v>
      </c>
      <c r="C14" s="210"/>
      <c r="D14" s="210"/>
      <c r="E14" s="204">
        <v>42968</v>
      </c>
      <c r="F14" s="204"/>
      <c r="G14" s="204"/>
      <c r="H14" s="204"/>
      <c r="I14" s="204"/>
      <c r="J14" s="205"/>
    </row>
    <row r="15" spans="2:11" x14ac:dyDescent="0.25">
      <c r="B15" s="209" t="s">
        <v>0</v>
      </c>
      <c r="C15" s="210"/>
      <c r="D15" s="225" t="s">
        <v>286</v>
      </c>
      <c r="E15" s="226"/>
      <c r="F15" s="226"/>
      <c r="G15" s="226"/>
      <c r="H15" s="226"/>
      <c r="I15" s="226"/>
      <c r="J15" s="227"/>
      <c r="K15" s="23"/>
    </row>
    <row r="16" spans="2:11" ht="60" customHeight="1" x14ac:dyDescent="0.25">
      <c r="B16" s="211" t="s">
        <v>6</v>
      </c>
      <c r="C16" s="212"/>
      <c r="D16" s="206" t="s">
        <v>299</v>
      </c>
      <c r="E16" s="207"/>
      <c r="F16" s="207"/>
      <c r="G16" s="207"/>
      <c r="H16" s="207"/>
      <c r="I16" s="207"/>
      <c r="J16" s="208"/>
      <c r="K16" s="23"/>
    </row>
    <row r="17" spans="2:10" ht="108.75" customHeight="1" x14ac:dyDescent="0.25">
      <c r="B17" s="211" t="s">
        <v>1</v>
      </c>
      <c r="C17" s="212"/>
      <c r="D17" s="222" t="s">
        <v>287</v>
      </c>
      <c r="E17" s="223"/>
      <c r="F17" s="223"/>
      <c r="G17" s="223"/>
      <c r="H17" s="223"/>
      <c r="I17" s="223"/>
      <c r="J17" s="224"/>
    </row>
    <row r="18" spans="2:10" x14ac:dyDescent="0.25">
      <c r="B18" s="219" t="s">
        <v>5</v>
      </c>
      <c r="C18" s="221"/>
      <c r="D18" s="221"/>
      <c r="E18" s="221"/>
      <c r="F18" s="221"/>
      <c r="G18" s="220"/>
      <c r="H18" s="213" t="s">
        <v>300</v>
      </c>
      <c r="I18" s="214"/>
      <c r="J18" s="215"/>
    </row>
    <row r="19" spans="2:10" x14ac:dyDescent="0.25">
      <c r="B19" s="219" t="s">
        <v>2</v>
      </c>
      <c r="C19" s="220"/>
      <c r="D19" s="216"/>
      <c r="E19" s="217"/>
      <c r="F19" s="217"/>
      <c r="G19" s="217"/>
      <c r="H19" s="217"/>
      <c r="I19" s="217"/>
      <c r="J19" s="218"/>
    </row>
    <row r="20" spans="2:10" x14ac:dyDescent="0.25">
      <c r="B20" s="20"/>
      <c r="C20" s="21"/>
      <c r="D20" s="21"/>
      <c r="E20" s="21"/>
      <c r="F20" s="21"/>
      <c r="G20" s="21"/>
      <c r="H20" s="21"/>
      <c r="I20" s="21"/>
      <c r="J20" s="22"/>
    </row>
    <row r="21" spans="2:10" x14ac:dyDescent="0.25">
      <c r="B21" s="20"/>
      <c r="C21" s="24"/>
      <c r="D21" s="21"/>
      <c r="E21" s="21"/>
      <c r="F21" s="21"/>
      <c r="G21" s="21"/>
      <c r="H21" s="21"/>
      <c r="I21" s="21"/>
      <c r="J21" s="22"/>
    </row>
    <row r="22" spans="2:10" x14ac:dyDescent="0.25">
      <c r="B22" s="20"/>
      <c r="C22" s="24"/>
      <c r="D22" s="21"/>
      <c r="E22" s="21"/>
      <c r="F22" s="21"/>
      <c r="G22" s="21"/>
      <c r="H22" s="21"/>
      <c r="I22" s="21"/>
      <c r="J22" s="22"/>
    </row>
    <row r="23" spans="2:10" x14ac:dyDescent="0.25">
      <c r="B23" s="20"/>
      <c r="C23" s="21"/>
      <c r="D23" s="21"/>
      <c r="E23" s="21"/>
      <c r="F23" s="21"/>
      <c r="G23" s="21"/>
      <c r="H23" s="21"/>
      <c r="I23" s="21"/>
      <c r="J23" s="22"/>
    </row>
    <row r="24" spans="2:10" x14ac:dyDescent="0.25">
      <c r="B24" s="20"/>
      <c r="C24" s="21"/>
      <c r="D24" s="21"/>
      <c r="E24" s="21"/>
      <c r="F24" s="21"/>
      <c r="G24" s="21"/>
      <c r="H24" s="21"/>
      <c r="I24" s="21"/>
      <c r="J24" s="22"/>
    </row>
    <row r="25" spans="2:10" x14ac:dyDescent="0.25">
      <c r="B25" s="20"/>
      <c r="C25" s="21"/>
      <c r="D25" s="21"/>
      <c r="E25" s="21"/>
      <c r="F25" s="21"/>
      <c r="G25" s="21"/>
      <c r="H25" s="21"/>
      <c r="I25" s="21"/>
      <c r="J25" s="22"/>
    </row>
    <row r="26" spans="2:10" x14ac:dyDescent="0.25">
      <c r="B26" s="20"/>
      <c r="C26" s="21"/>
      <c r="D26" s="21"/>
      <c r="E26" s="21"/>
      <c r="F26" s="21"/>
      <c r="G26" s="21"/>
      <c r="H26" s="21"/>
      <c r="I26" s="21"/>
      <c r="J26" s="22"/>
    </row>
    <row r="27" spans="2:10" x14ac:dyDescent="0.25">
      <c r="B27" s="20"/>
      <c r="C27" s="21"/>
      <c r="D27" s="21"/>
      <c r="E27" s="21"/>
      <c r="F27" s="21"/>
      <c r="G27" s="21"/>
      <c r="H27" s="21"/>
      <c r="I27" s="21"/>
      <c r="J27" s="22"/>
    </row>
    <row r="28" spans="2:10" x14ac:dyDescent="0.25">
      <c r="B28" s="20"/>
      <c r="C28" s="21"/>
      <c r="D28" s="21"/>
      <c r="E28" s="21"/>
      <c r="F28" s="21"/>
      <c r="G28" s="21"/>
      <c r="H28" s="21"/>
      <c r="I28" s="21"/>
      <c r="J28" s="22"/>
    </row>
    <row r="29" spans="2:10" x14ac:dyDescent="0.25">
      <c r="B29" s="20"/>
      <c r="C29" s="21"/>
      <c r="D29" s="21"/>
      <c r="E29" s="21"/>
      <c r="F29" s="21"/>
      <c r="G29" s="21"/>
      <c r="H29" s="21"/>
      <c r="I29" s="21"/>
      <c r="J29" s="22"/>
    </row>
    <row r="30" spans="2:10" x14ac:dyDescent="0.25">
      <c r="B30" s="20"/>
      <c r="C30" s="21"/>
      <c r="D30" s="21"/>
      <c r="E30" s="21"/>
      <c r="F30" s="21"/>
      <c r="G30" s="21"/>
      <c r="H30" s="21"/>
      <c r="I30" s="21"/>
      <c r="J30" s="22"/>
    </row>
    <row r="31" spans="2:10" x14ac:dyDescent="0.25">
      <c r="B31" s="20"/>
      <c r="C31" s="21"/>
      <c r="D31" s="21"/>
      <c r="E31" s="21"/>
      <c r="F31" s="21"/>
      <c r="G31" s="21"/>
      <c r="H31" s="21"/>
      <c r="I31" s="21"/>
      <c r="J31" s="22"/>
    </row>
    <row r="32" spans="2:10" x14ac:dyDescent="0.25">
      <c r="B32" s="20"/>
      <c r="C32" s="21"/>
      <c r="D32" s="21"/>
      <c r="E32" s="21"/>
      <c r="F32" s="21"/>
      <c r="G32" s="21"/>
      <c r="H32" s="21"/>
      <c r="I32" s="21"/>
      <c r="J32" s="22"/>
    </row>
    <row r="33" spans="2:10" x14ac:dyDescent="0.25">
      <c r="B33" s="20"/>
      <c r="C33" s="21"/>
      <c r="D33" s="21"/>
      <c r="E33" s="21"/>
      <c r="F33" s="21"/>
      <c r="G33" s="21"/>
      <c r="H33" s="21"/>
      <c r="I33" s="21"/>
      <c r="J33" s="22"/>
    </row>
    <row r="34" spans="2:10" x14ac:dyDescent="0.25">
      <c r="B34" s="20"/>
      <c r="C34" s="21"/>
      <c r="D34" s="21"/>
      <c r="E34" s="21"/>
      <c r="F34" s="21"/>
      <c r="G34" s="21"/>
      <c r="H34" s="21"/>
      <c r="I34" s="21"/>
      <c r="J34" s="22"/>
    </row>
    <row r="35" spans="2:10" x14ac:dyDescent="0.25">
      <c r="B35" s="20"/>
      <c r="C35" s="21"/>
      <c r="D35" s="21"/>
      <c r="E35" s="21"/>
      <c r="F35" s="21"/>
      <c r="G35" s="21"/>
      <c r="H35" s="21"/>
      <c r="I35" s="21"/>
      <c r="J35" s="22"/>
    </row>
    <row r="36" spans="2:10" x14ac:dyDescent="0.25">
      <c r="B36" s="20"/>
      <c r="C36" s="21"/>
      <c r="D36" s="21"/>
      <c r="E36" s="21"/>
      <c r="F36" s="21"/>
      <c r="G36" s="21"/>
      <c r="H36" s="21"/>
      <c r="I36" s="21"/>
      <c r="J36" s="22"/>
    </row>
    <row r="37" spans="2:10" x14ac:dyDescent="0.25">
      <c r="B37" s="20"/>
      <c r="C37" s="21"/>
      <c r="D37" s="21"/>
      <c r="E37" s="21"/>
      <c r="F37" s="21"/>
      <c r="G37" s="21"/>
      <c r="H37" s="21"/>
      <c r="I37" s="21"/>
      <c r="J37" s="22"/>
    </row>
    <row r="38" spans="2:10" x14ac:dyDescent="0.25">
      <c r="B38" s="20"/>
      <c r="C38" s="21"/>
      <c r="D38" s="21"/>
      <c r="E38" s="21"/>
      <c r="F38" s="21"/>
      <c r="G38" s="21"/>
      <c r="H38" s="25" t="s">
        <v>60</v>
      </c>
      <c r="I38" s="196">
        <f ca="1">TODAY()</f>
        <v>43048</v>
      </c>
      <c r="J38" s="197"/>
    </row>
    <row r="39" spans="2:10" x14ac:dyDescent="0.25">
      <c r="B39" s="20"/>
      <c r="C39" s="21"/>
      <c r="D39" s="21"/>
      <c r="E39" s="21"/>
      <c r="F39" s="21"/>
      <c r="G39" s="21"/>
      <c r="H39" s="21"/>
      <c r="I39" s="21"/>
      <c r="J39" s="22"/>
    </row>
    <row r="40" spans="2:10" ht="15.75" thickBot="1" x14ac:dyDescent="0.3">
      <c r="B40" s="26"/>
      <c r="C40" s="27"/>
      <c r="D40" s="27"/>
      <c r="E40" s="27"/>
      <c r="F40" s="27"/>
      <c r="G40" s="27"/>
      <c r="H40" s="27"/>
      <c r="I40" s="27"/>
      <c r="J40" s="28"/>
    </row>
  </sheetData>
  <sheetProtection algorithmName="SHA-512" hashValue="7YqDhOXSTBuZdwkmwwESM8QJNxQsuO2zEUfC9i2X6DfN1PgQs1R3TZdkdvoB5pxfOVzCJ+OV3m3ugU8OJpe2qQ==" saltValue="KcUjodyCeivgP01BtO91hw==" spinCount="100000" sheet="1" objects="1" scenarios="1"/>
  <mergeCells count="16">
    <mergeCell ref="B1:J1"/>
    <mergeCell ref="I38:J38"/>
    <mergeCell ref="B8:J11"/>
    <mergeCell ref="B13:J13"/>
    <mergeCell ref="E14:J14"/>
    <mergeCell ref="D16:J16"/>
    <mergeCell ref="B14:D14"/>
    <mergeCell ref="B16:C16"/>
    <mergeCell ref="B15:C15"/>
    <mergeCell ref="H18:J18"/>
    <mergeCell ref="D19:J19"/>
    <mergeCell ref="B19:C19"/>
    <mergeCell ref="B18:G18"/>
    <mergeCell ref="B17:C17"/>
    <mergeCell ref="D17:J17"/>
    <mergeCell ref="D15:J15"/>
  </mergeCells>
  <pageMargins left="0.7" right="0.7" top="0.75" bottom="0.75" header="0.3" footer="0.3"/>
  <pageSetup paperSize="9" orientation="portrait"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49" zoomScale="140" zoomScaleNormal="140" workbookViewId="0">
      <selection activeCell="B55" sqref="B55"/>
    </sheetView>
  </sheetViews>
  <sheetFormatPr defaultColWidth="9.140625" defaultRowHeight="12" x14ac:dyDescent="0.2"/>
  <cols>
    <col min="1" max="1" width="51.5703125" style="150" customWidth="1"/>
    <col min="2" max="2" width="32" style="150" customWidth="1"/>
    <col min="3" max="3" width="19.28515625" style="150" customWidth="1"/>
    <col min="4" max="4" width="9.7109375" style="150" customWidth="1"/>
    <col min="5" max="5" width="12.42578125" style="150" customWidth="1"/>
    <col min="6" max="6" width="9.140625" style="150"/>
    <col min="7" max="7" width="16.85546875" style="150" customWidth="1"/>
    <col min="8" max="16384" width="9.140625" style="150"/>
  </cols>
  <sheetData>
    <row r="1" spans="1:5" ht="15" x14ac:dyDescent="0.2">
      <c r="A1" s="302" t="s">
        <v>35</v>
      </c>
      <c r="B1" s="302"/>
      <c r="C1" s="302"/>
    </row>
    <row r="2" spans="1:5" x14ac:dyDescent="0.2">
      <c r="A2" s="151"/>
      <c r="D2" s="152"/>
      <c r="E2" s="152"/>
    </row>
    <row r="3" spans="1:5" x14ac:dyDescent="0.2">
      <c r="A3" s="303" t="s">
        <v>179</v>
      </c>
      <c r="B3" s="303"/>
      <c r="C3" s="153" t="s">
        <v>4</v>
      </c>
      <c r="D3" s="154"/>
      <c r="E3" s="154"/>
    </row>
    <row r="4" spans="1:5" ht="12.75" thickBot="1" x14ac:dyDescent="0.25">
      <c r="D4" s="155"/>
      <c r="E4" s="155"/>
    </row>
    <row r="5" spans="1:5" x14ac:dyDescent="0.2">
      <c r="A5" s="316" t="s">
        <v>185</v>
      </c>
      <c r="B5" s="317"/>
      <c r="C5" s="318"/>
      <c r="D5" s="155"/>
      <c r="E5" s="155"/>
    </row>
    <row r="6" spans="1:5" ht="51" customHeight="1" thickBot="1" x14ac:dyDescent="0.25">
      <c r="A6" s="319" t="s">
        <v>186</v>
      </c>
      <c r="B6" s="320"/>
      <c r="C6" s="321"/>
      <c r="D6" s="155"/>
      <c r="E6" s="155"/>
    </row>
    <row r="7" spans="1:5" ht="12.75" thickBot="1" x14ac:dyDescent="0.25">
      <c r="D7" s="155"/>
      <c r="E7" s="155"/>
    </row>
    <row r="8" spans="1:5" x14ac:dyDescent="0.2">
      <c r="A8" s="316" t="s">
        <v>187</v>
      </c>
      <c r="B8" s="317"/>
      <c r="C8" s="318"/>
      <c r="D8" s="155"/>
      <c r="E8" s="155"/>
    </row>
    <row r="9" spans="1:5" ht="218.25" customHeight="1" thickBot="1" x14ac:dyDescent="0.25">
      <c r="A9" s="322" t="s">
        <v>267</v>
      </c>
      <c r="B9" s="323"/>
      <c r="C9" s="324"/>
      <c r="D9" s="155"/>
      <c r="E9" s="155"/>
    </row>
    <row r="10" spans="1:5" ht="12.75" thickBot="1" x14ac:dyDescent="0.25">
      <c r="D10" s="155"/>
      <c r="E10" s="155"/>
    </row>
    <row r="11" spans="1:5" x14ac:dyDescent="0.2">
      <c r="A11" s="316" t="s">
        <v>188</v>
      </c>
      <c r="B11" s="317"/>
      <c r="C11" s="318"/>
      <c r="D11" s="155"/>
      <c r="E11" s="155"/>
    </row>
    <row r="12" spans="1:5" ht="378" customHeight="1" x14ac:dyDescent="0.2">
      <c r="A12" s="325" t="s">
        <v>189</v>
      </c>
      <c r="B12" s="326"/>
      <c r="C12" s="327"/>
      <c r="D12" s="155"/>
      <c r="E12" s="155"/>
    </row>
    <row r="13" spans="1:5" x14ac:dyDescent="0.2">
      <c r="A13" s="304"/>
      <c r="B13" s="305"/>
      <c r="C13" s="306"/>
      <c r="D13" s="155"/>
      <c r="E13" s="155"/>
    </row>
    <row r="14" spans="1:5" ht="48" customHeight="1" x14ac:dyDescent="0.2">
      <c r="A14" s="156" t="s">
        <v>180</v>
      </c>
      <c r="B14" s="314" t="s">
        <v>178</v>
      </c>
      <c r="C14" s="315"/>
    </row>
    <row r="15" spans="1:5" x14ac:dyDescent="0.2">
      <c r="A15" s="157" t="s">
        <v>64</v>
      </c>
      <c r="B15" s="307"/>
      <c r="C15" s="308"/>
    </row>
    <row r="16" spans="1:5" ht="24" x14ac:dyDescent="0.2">
      <c r="A16" s="158" t="s">
        <v>288</v>
      </c>
      <c r="B16" s="307"/>
      <c r="C16" s="308"/>
    </row>
    <row r="17" spans="1:3" ht="24" x14ac:dyDescent="0.2">
      <c r="A17" s="158" t="s">
        <v>270</v>
      </c>
      <c r="B17" s="307"/>
      <c r="C17" s="308"/>
    </row>
    <row r="18" spans="1:3" ht="24" x14ac:dyDescent="0.2">
      <c r="A18" s="158" t="s">
        <v>271</v>
      </c>
      <c r="B18" s="307"/>
      <c r="C18" s="308"/>
    </row>
    <row r="19" spans="1:3" ht="24" x14ac:dyDescent="0.2">
      <c r="A19" s="158" t="s">
        <v>281</v>
      </c>
      <c r="B19" s="307"/>
      <c r="C19" s="308"/>
    </row>
    <row r="20" spans="1:3" ht="24" x14ac:dyDescent="0.2">
      <c r="A20" s="158" t="s">
        <v>282</v>
      </c>
      <c r="B20" s="307"/>
      <c r="C20" s="308"/>
    </row>
    <row r="21" spans="1:3" ht="30" customHeight="1" x14ac:dyDescent="0.2">
      <c r="A21" s="184" t="s">
        <v>289</v>
      </c>
      <c r="B21" s="307"/>
      <c r="C21" s="308"/>
    </row>
    <row r="22" spans="1:3" ht="30" customHeight="1" x14ac:dyDescent="0.2">
      <c r="A22" s="158" t="s">
        <v>272</v>
      </c>
      <c r="B22" s="307"/>
      <c r="C22" s="308"/>
    </row>
    <row r="23" spans="1:3" ht="30" customHeight="1" x14ac:dyDescent="0.2">
      <c r="A23" s="158"/>
      <c r="B23" s="307"/>
      <c r="C23" s="308"/>
    </row>
    <row r="24" spans="1:3" ht="30" customHeight="1" x14ac:dyDescent="0.2">
      <c r="A24" s="158"/>
      <c r="B24" s="307"/>
      <c r="C24" s="308"/>
    </row>
    <row r="25" spans="1:3" ht="30" customHeight="1" x14ac:dyDescent="0.2">
      <c r="B25" s="307"/>
      <c r="C25" s="308"/>
    </row>
    <row r="26" spans="1:3" ht="30" customHeight="1" x14ac:dyDescent="0.2">
      <c r="A26" s="159">
        <v>6</v>
      </c>
      <c r="B26" s="307"/>
      <c r="C26" s="308"/>
    </row>
    <row r="27" spans="1:3" ht="30" customHeight="1" x14ac:dyDescent="0.2">
      <c r="A27" s="159">
        <v>7</v>
      </c>
      <c r="B27" s="307"/>
      <c r="C27" s="308"/>
    </row>
    <row r="28" spans="1:3" ht="30" customHeight="1" x14ac:dyDescent="0.2">
      <c r="A28" s="159">
        <v>8</v>
      </c>
      <c r="B28" s="307"/>
      <c r="C28" s="308"/>
    </row>
    <row r="29" spans="1:3" ht="30" customHeight="1" x14ac:dyDescent="0.2">
      <c r="A29" s="159">
        <v>9</v>
      </c>
      <c r="B29" s="307"/>
      <c r="C29" s="308"/>
    </row>
    <row r="30" spans="1:3" ht="30" customHeight="1" thickBot="1" x14ac:dyDescent="0.25">
      <c r="A30" s="160">
        <v>10</v>
      </c>
      <c r="B30" s="309"/>
      <c r="C30" s="310"/>
    </row>
    <row r="34" spans="1:7" ht="12.75" thickBot="1" x14ac:dyDescent="0.25"/>
    <row r="35" spans="1:7" ht="15" customHeight="1" x14ac:dyDescent="0.2">
      <c r="A35" s="161" t="s">
        <v>190</v>
      </c>
      <c r="B35" s="162"/>
      <c r="C35" s="162"/>
      <c r="D35" s="162"/>
      <c r="E35" s="162"/>
      <c r="F35" s="162"/>
      <c r="G35" s="163"/>
    </row>
    <row r="36" spans="1:7" ht="243" customHeight="1" x14ac:dyDescent="0.2">
      <c r="A36" s="328" t="s">
        <v>192</v>
      </c>
      <c r="B36" s="329"/>
      <c r="C36" s="329"/>
      <c r="D36" s="329"/>
      <c r="E36" s="329"/>
      <c r="F36" s="329"/>
      <c r="G36" s="330"/>
    </row>
    <row r="37" spans="1:7" ht="26.25" customHeight="1" x14ac:dyDescent="0.2">
      <c r="A37" s="311" t="s">
        <v>261</v>
      </c>
      <c r="B37" s="312"/>
      <c r="C37" s="312"/>
      <c r="D37" s="312"/>
      <c r="E37" s="313"/>
      <c r="F37" s="331" t="s">
        <v>157</v>
      </c>
      <c r="G37" s="332"/>
    </row>
    <row r="38" spans="1:7" x14ac:dyDescent="0.2">
      <c r="A38" s="164" t="s">
        <v>193</v>
      </c>
      <c r="B38" s="165" t="s">
        <v>64</v>
      </c>
      <c r="C38" s="165" t="s">
        <v>65</v>
      </c>
      <c r="D38" s="165" t="s">
        <v>66</v>
      </c>
      <c r="E38" s="166" t="s">
        <v>67</v>
      </c>
      <c r="F38" s="167"/>
      <c r="G38" s="168"/>
    </row>
    <row r="39" spans="1:7" x14ac:dyDescent="0.2">
      <c r="A39" s="169" t="s">
        <v>68</v>
      </c>
      <c r="B39" s="170" t="s">
        <v>246</v>
      </c>
      <c r="C39" s="170" t="s">
        <v>69</v>
      </c>
      <c r="D39" s="170" t="s">
        <v>70</v>
      </c>
      <c r="E39" s="171">
        <v>350</v>
      </c>
      <c r="F39" s="167"/>
      <c r="G39" s="168"/>
    </row>
    <row r="40" spans="1:7" x14ac:dyDescent="0.2">
      <c r="A40" s="169" t="s">
        <v>72</v>
      </c>
      <c r="B40" s="170" t="s">
        <v>247</v>
      </c>
      <c r="C40" s="170" t="s">
        <v>69</v>
      </c>
      <c r="D40" s="170" t="s">
        <v>70</v>
      </c>
      <c r="E40" s="171">
        <v>506</v>
      </c>
      <c r="F40" s="167"/>
      <c r="G40" s="168"/>
    </row>
    <row r="41" spans="1:7" x14ac:dyDescent="0.2">
      <c r="A41" s="169" t="s">
        <v>73</v>
      </c>
      <c r="B41" s="170" t="s">
        <v>248</v>
      </c>
      <c r="C41" s="170" t="s">
        <v>69</v>
      </c>
      <c r="D41" s="170" t="s">
        <v>70</v>
      </c>
      <c r="E41" s="171">
        <v>533</v>
      </c>
      <c r="F41" s="167"/>
      <c r="G41" s="168"/>
    </row>
    <row r="42" spans="1:7" x14ac:dyDescent="0.2">
      <c r="A42" s="169" t="s">
        <v>74</v>
      </c>
      <c r="B42" s="170" t="s">
        <v>249</v>
      </c>
      <c r="C42" s="170" t="s">
        <v>69</v>
      </c>
      <c r="D42" s="170" t="s">
        <v>70</v>
      </c>
      <c r="E42" s="171">
        <v>812</v>
      </c>
      <c r="F42" s="167"/>
      <c r="G42" s="168"/>
    </row>
    <row r="43" spans="1:7" x14ac:dyDescent="0.2">
      <c r="A43" s="169" t="s">
        <v>85</v>
      </c>
      <c r="B43" s="170" t="s">
        <v>250</v>
      </c>
      <c r="C43" s="170" t="s">
        <v>69</v>
      </c>
      <c r="D43" s="170" t="s">
        <v>70</v>
      </c>
      <c r="E43" s="171">
        <v>880</v>
      </c>
      <c r="F43" s="167"/>
      <c r="G43" s="168"/>
    </row>
    <row r="44" spans="1:7" x14ac:dyDescent="0.2">
      <c r="A44" s="169" t="s">
        <v>75</v>
      </c>
      <c r="B44" s="170" t="s">
        <v>251</v>
      </c>
      <c r="C44" s="170" t="s">
        <v>69</v>
      </c>
      <c r="D44" s="170" t="s">
        <v>70</v>
      </c>
      <c r="E44" s="171">
        <v>1020</v>
      </c>
      <c r="F44" s="167"/>
      <c r="G44" s="168"/>
    </row>
    <row r="45" spans="1:7" ht="35.450000000000003" customHeight="1" x14ac:dyDescent="0.2">
      <c r="A45" s="169" t="s">
        <v>279</v>
      </c>
      <c r="B45" s="172" t="s">
        <v>278</v>
      </c>
      <c r="C45" s="170" t="s">
        <v>69</v>
      </c>
      <c r="D45" s="188" t="s">
        <v>276</v>
      </c>
      <c r="E45" s="171">
        <v>700</v>
      </c>
      <c r="F45" s="167"/>
      <c r="G45" s="168"/>
    </row>
    <row r="46" spans="1:7" ht="30" customHeight="1" x14ac:dyDescent="0.2">
      <c r="A46" s="169" t="s">
        <v>292</v>
      </c>
      <c r="B46" s="173" t="s">
        <v>293</v>
      </c>
      <c r="C46" s="170" t="s">
        <v>69</v>
      </c>
      <c r="D46" s="188" t="s">
        <v>276</v>
      </c>
      <c r="E46" s="171">
        <v>1020</v>
      </c>
      <c r="F46" s="167"/>
      <c r="G46" s="168"/>
    </row>
    <row r="47" spans="1:7" ht="30" customHeight="1" x14ac:dyDescent="0.2">
      <c r="A47" s="169" t="s">
        <v>280</v>
      </c>
      <c r="B47" s="173" t="s">
        <v>277</v>
      </c>
      <c r="C47" s="170" t="s">
        <v>69</v>
      </c>
      <c r="D47" s="188" t="s">
        <v>276</v>
      </c>
      <c r="E47" s="171">
        <v>16</v>
      </c>
      <c r="F47" s="167"/>
      <c r="G47" s="168"/>
    </row>
    <row r="48" spans="1:7" ht="30" customHeight="1" x14ac:dyDescent="0.2">
      <c r="A48" s="169"/>
      <c r="B48" s="175"/>
      <c r="C48" s="188"/>
      <c r="D48" s="188"/>
      <c r="E48" s="171">
        <v>0</v>
      </c>
      <c r="F48" s="167"/>
      <c r="G48" s="168"/>
    </row>
    <row r="49" spans="1:7" ht="30" customHeight="1" x14ac:dyDescent="0.2">
      <c r="A49" s="174" t="s">
        <v>86</v>
      </c>
      <c r="B49" s="175"/>
      <c r="C49" s="188"/>
      <c r="D49" s="188"/>
      <c r="E49" s="171">
        <v>0</v>
      </c>
      <c r="F49" s="167"/>
      <c r="G49" s="176"/>
    </row>
    <row r="50" spans="1:7" ht="30" customHeight="1" x14ac:dyDescent="0.2">
      <c r="A50" s="174" t="s">
        <v>86</v>
      </c>
      <c r="B50" s="175"/>
      <c r="C50" s="188"/>
      <c r="D50" s="188"/>
      <c r="E50" s="177">
        <v>0</v>
      </c>
      <c r="F50" s="167"/>
      <c r="G50" s="333"/>
    </row>
    <row r="51" spans="1:7" ht="30" customHeight="1" x14ac:dyDescent="0.2">
      <c r="A51" s="174" t="s">
        <v>86</v>
      </c>
      <c r="B51" s="175"/>
      <c r="C51" s="188"/>
      <c r="D51" s="188"/>
      <c r="E51" s="177">
        <v>0</v>
      </c>
      <c r="F51" s="167"/>
      <c r="G51" s="333"/>
    </row>
    <row r="52" spans="1:7" ht="30" customHeight="1" x14ac:dyDescent="0.2">
      <c r="A52" s="174" t="s">
        <v>86</v>
      </c>
      <c r="B52" s="175"/>
      <c r="C52" s="188"/>
      <c r="D52" s="188"/>
      <c r="E52" s="177">
        <v>0</v>
      </c>
      <c r="F52" s="167"/>
      <c r="G52" s="333"/>
    </row>
    <row r="53" spans="1:7" ht="30" customHeight="1" thickBot="1" x14ac:dyDescent="0.25">
      <c r="A53" s="178" t="s">
        <v>86</v>
      </c>
      <c r="B53" s="179"/>
      <c r="C53" s="180"/>
      <c r="D53" s="180"/>
      <c r="E53" s="181">
        <v>0</v>
      </c>
      <c r="F53" s="182"/>
      <c r="G53" s="334"/>
    </row>
    <row r="54" spans="1:7" x14ac:dyDescent="0.2">
      <c r="G54" s="183"/>
    </row>
    <row r="55" spans="1:7" x14ac:dyDescent="0.2">
      <c r="G55" s="183"/>
    </row>
    <row r="56" spans="1:7" ht="12.75" thickBot="1" x14ac:dyDescent="0.25"/>
    <row r="57" spans="1:7" x14ac:dyDescent="0.2">
      <c r="A57" s="316" t="s">
        <v>194</v>
      </c>
      <c r="B57" s="317"/>
      <c r="C57" s="318"/>
    </row>
    <row r="58" spans="1:7" ht="31.5" customHeight="1" thickBot="1" x14ac:dyDescent="0.25">
      <c r="A58" s="322" t="s">
        <v>195</v>
      </c>
      <c r="B58" s="323"/>
      <c r="C58" s="324"/>
    </row>
    <row r="59" spans="1:7" ht="12.75" thickBot="1" x14ac:dyDescent="0.25"/>
    <row r="60" spans="1:7" x14ac:dyDescent="0.2">
      <c r="A60" s="316" t="s">
        <v>196</v>
      </c>
      <c r="B60" s="317"/>
      <c r="C60" s="318"/>
    </row>
    <row r="61" spans="1:7" ht="31.5" customHeight="1" thickBot="1" x14ac:dyDescent="0.25">
      <c r="A61" s="322" t="s">
        <v>158</v>
      </c>
      <c r="B61" s="323"/>
      <c r="C61" s="324"/>
    </row>
    <row r="64" spans="1:7" x14ac:dyDescent="0.2">
      <c r="A64" s="150" t="s">
        <v>181</v>
      </c>
    </row>
    <row r="65" spans="1:1" x14ac:dyDescent="0.2">
      <c r="A65" s="150" t="s">
        <v>182</v>
      </c>
    </row>
    <row r="66" spans="1:1" x14ac:dyDescent="0.2">
      <c r="A66" s="150" t="s">
        <v>183</v>
      </c>
    </row>
    <row r="67" spans="1:1" x14ac:dyDescent="0.2">
      <c r="A67" s="150" t="s">
        <v>184</v>
      </c>
    </row>
  </sheetData>
  <sheetProtection algorithmName="SHA-512" hashValue="37zUpCwTyticwuuLNL9jY+HJsaEETB0IceZySJ+RSZRP7Q6Fu7MDfIjhCRoo6ZbuG/Um5piTt5/sXHBLFd+dsw==" saltValue="cRNOEckFlmwTOWJwO0znAQ==" spinCount="100000" sheet="1" objects="1" scenarios="1"/>
  <mergeCells count="19">
    <mergeCell ref="A57:C57"/>
    <mergeCell ref="A58:C58"/>
    <mergeCell ref="A60:C60"/>
    <mergeCell ref="A61:C61"/>
    <mergeCell ref="G50:G53"/>
    <mergeCell ref="A1:C1"/>
    <mergeCell ref="A3:B3"/>
    <mergeCell ref="A13:C13"/>
    <mergeCell ref="B15:C30"/>
    <mergeCell ref="A37:E37"/>
    <mergeCell ref="B14:C14"/>
    <mergeCell ref="A5:C5"/>
    <mergeCell ref="A8:C8"/>
    <mergeCell ref="A6:C6"/>
    <mergeCell ref="A9:C9"/>
    <mergeCell ref="A11:C11"/>
    <mergeCell ref="A12:C12"/>
    <mergeCell ref="A36:G36"/>
    <mergeCell ref="F37:G3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workbookViewId="0">
      <selection activeCell="I18" sqref="I18"/>
    </sheetView>
  </sheetViews>
  <sheetFormatPr defaultColWidth="9.140625" defaultRowHeight="10.5" x14ac:dyDescent="0.15"/>
  <cols>
    <col min="1" max="1" width="32.140625" style="101" customWidth="1"/>
    <col min="2" max="3" width="11.28515625" style="101" customWidth="1"/>
    <col min="4" max="4" width="9.5703125" style="101" customWidth="1"/>
    <col min="5" max="5" width="10.28515625" style="101" customWidth="1"/>
    <col min="6" max="6" width="9.140625" style="101"/>
    <col min="7" max="7" width="29.42578125" style="101" customWidth="1"/>
    <col min="8" max="8" width="9.85546875" style="101" customWidth="1"/>
    <col min="9" max="9" width="10.5703125" style="101" customWidth="1"/>
    <col min="10" max="10" width="9.140625" style="101"/>
    <col min="11" max="12" width="10.42578125" style="101" customWidth="1"/>
    <col min="13" max="13" width="12.28515625" style="101" customWidth="1"/>
    <col min="14" max="14" width="11.28515625" style="101" customWidth="1"/>
    <col min="15" max="15" width="11.5703125" style="101" bestFit="1" customWidth="1"/>
    <col min="16" max="16" width="11" style="101" bestFit="1" customWidth="1"/>
    <col min="17" max="17" width="29.85546875" style="101" customWidth="1"/>
    <col min="18" max="18" width="10.28515625" style="101" customWidth="1"/>
    <col min="19" max="19" width="10.42578125" style="101" customWidth="1"/>
    <col min="20" max="20" width="1.28515625" style="101" customWidth="1"/>
    <col min="21" max="21" width="25.140625" style="101" customWidth="1"/>
    <col min="22" max="22" width="10.5703125" style="101" customWidth="1"/>
    <col min="23" max="23" width="10.28515625" style="101" customWidth="1"/>
    <col min="24" max="24" width="10.85546875" style="101" customWidth="1"/>
    <col min="25" max="25" width="10.5703125" style="101" customWidth="1"/>
    <col min="26" max="26" width="9.140625" style="101"/>
    <col min="27" max="27" width="20.140625" style="101" bestFit="1" customWidth="1"/>
    <col min="28" max="28" width="10.5703125" style="101" customWidth="1"/>
    <col min="29" max="29" width="12.28515625" style="101" customWidth="1"/>
    <col min="30" max="30" width="10" style="101" customWidth="1"/>
    <col min="31" max="31" width="11.85546875" style="101" customWidth="1"/>
    <col min="32" max="32" width="9.140625" style="101"/>
    <col min="33" max="33" width="10" style="101" customWidth="1"/>
    <col min="34" max="34" width="10.140625" style="101" customWidth="1"/>
    <col min="35" max="35" width="14.28515625" style="101" customWidth="1"/>
    <col min="36" max="36" width="10" style="101" customWidth="1"/>
    <col min="37" max="37" width="11.140625" style="101" customWidth="1"/>
    <col min="38" max="38" width="9.140625" style="101"/>
    <col min="39" max="39" width="10.5703125" style="101" customWidth="1"/>
    <col min="40" max="40" width="9.140625" style="101"/>
    <col min="41" max="41" width="24" style="101" customWidth="1"/>
    <col min="42" max="42" width="10" style="101" customWidth="1"/>
    <col min="43" max="43" width="11.28515625" style="101" customWidth="1"/>
    <col min="44" max="44" width="10.42578125" style="101" customWidth="1"/>
    <col min="45" max="45" width="10.7109375" style="101" customWidth="1"/>
    <col min="46" max="46" width="12.85546875" style="101" customWidth="1"/>
    <col min="47" max="47" width="12.28515625" style="101" customWidth="1"/>
    <col min="48" max="48" width="10" style="101" bestFit="1" customWidth="1"/>
    <col min="49" max="49" width="10.5703125" style="101" customWidth="1"/>
    <col min="50" max="52" width="14.140625" style="101" customWidth="1"/>
    <col min="53" max="16384" width="9.140625" style="101"/>
  </cols>
  <sheetData>
    <row r="1" spans="1:52" x14ac:dyDescent="0.15">
      <c r="A1" s="335" t="s">
        <v>197</v>
      </c>
      <c r="B1" s="336"/>
      <c r="C1" s="336"/>
      <c r="D1" s="336"/>
      <c r="E1" s="337"/>
      <c r="G1" s="335" t="s">
        <v>218</v>
      </c>
      <c r="H1" s="336"/>
      <c r="I1" s="336"/>
      <c r="J1" s="336"/>
      <c r="K1" s="336"/>
      <c r="L1" s="336"/>
      <c r="M1" s="336"/>
      <c r="N1" s="336"/>
      <c r="O1" s="337"/>
      <c r="Q1" s="341" t="s">
        <v>219</v>
      </c>
      <c r="R1" s="342"/>
      <c r="S1" s="342"/>
      <c r="T1" s="342"/>
      <c r="U1" s="342"/>
      <c r="V1" s="342"/>
      <c r="W1" s="342"/>
      <c r="X1" s="342"/>
      <c r="Y1" s="343"/>
      <c r="AA1" s="338" t="s">
        <v>235</v>
      </c>
      <c r="AB1" s="338"/>
      <c r="AC1" s="338"/>
      <c r="AD1" s="338"/>
      <c r="AE1" s="338"/>
      <c r="AF1" s="338"/>
      <c r="AG1" s="338"/>
      <c r="AH1" s="338"/>
      <c r="AI1" s="338"/>
      <c r="AJ1" s="338"/>
      <c r="AK1" s="338"/>
      <c r="AM1" s="112" t="s">
        <v>241</v>
      </c>
      <c r="AO1" s="338" t="s">
        <v>240</v>
      </c>
      <c r="AP1" s="338"/>
      <c r="AQ1" s="338"/>
      <c r="AR1" s="338"/>
      <c r="AS1" s="338"/>
      <c r="AT1" s="338"/>
      <c r="AU1" s="338"/>
      <c r="AW1" s="338" t="s">
        <v>242</v>
      </c>
      <c r="AX1" s="338"/>
      <c r="AY1" s="338"/>
      <c r="AZ1" s="338"/>
    </row>
    <row r="4" spans="1:52" ht="11.25" customHeight="1" x14ac:dyDescent="0.15"/>
    <row r="5" spans="1:52" ht="15.75" customHeight="1" x14ac:dyDescent="0.15">
      <c r="G5" s="104" t="s">
        <v>201</v>
      </c>
      <c r="H5" s="104" t="s">
        <v>202</v>
      </c>
      <c r="I5" s="104" t="s">
        <v>203</v>
      </c>
      <c r="J5" s="104" t="s">
        <v>204</v>
      </c>
      <c r="K5" s="104" t="s">
        <v>205</v>
      </c>
      <c r="L5" s="104" t="s">
        <v>206</v>
      </c>
      <c r="M5" s="104" t="s">
        <v>207</v>
      </c>
      <c r="N5" s="104" t="s">
        <v>208</v>
      </c>
      <c r="O5" s="104" t="s">
        <v>209</v>
      </c>
      <c r="Q5" s="339" t="s">
        <v>220</v>
      </c>
      <c r="R5" s="339"/>
      <c r="S5" s="339"/>
      <c r="T5" s="104"/>
      <c r="U5" s="340" t="s">
        <v>221</v>
      </c>
      <c r="V5" s="340"/>
      <c r="W5" s="340"/>
      <c r="X5" s="340"/>
      <c r="Y5" s="113"/>
      <c r="AA5" s="104" t="s">
        <v>227</v>
      </c>
      <c r="AB5" s="104" t="s">
        <v>228</v>
      </c>
      <c r="AC5" s="104" t="s">
        <v>203</v>
      </c>
      <c r="AD5" s="104" t="s">
        <v>204</v>
      </c>
      <c r="AE5" s="104" t="s">
        <v>205</v>
      </c>
      <c r="AF5" s="104" t="s">
        <v>206</v>
      </c>
      <c r="AG5" s="104" t="s">
        <v>207</v>
      </c>
      <c r="AH5" s="104" t="s">
        <v>208</v>
      </c>
      <c r="AI5" s="104" t="s">
        <v>209</v>
      </c>
      <c r="AJ5" s="104" t="s">
        <v>210</v>
      </c>
      <c r="AK5" s="104" t="s">
        <v>229</v>
      </c>
    </row>
    <row r="6" spans="1:52" ht="52.5" x14ac:dyDescent="0.15">
      <c r="A6" s="116" t="s">
        <v>252</v>
      </c>
      <c r="B6" s="116" t="s">
        <v>243</v>
      </c>
      <c r="C6" s="116" t="s">
        <v>244</v>
      </c>
      <c r="D6" s="116" t="s">
        <v>301</v>
      </c>
      <c r="E6" s="116" t="s">
        <v>199</v>
      </c>
      <c r="G6" s="116" t="s">
        <v>252</v>
      </c>
      <c r="H6" s="116" t="s">
        <v>211</v>
      </c>
      <c r="I6" s="116" t="s">
        <v>198</v>
      </c>
      <c r="J6" s="116" t="s">
        <v>301</v>
      </c>
      <c r="K6" s="116" t="s">
        <v>199</v>
      </c>
      <c r="L6" s="116" t="s">
        <v>212</v>
      </c>
      <c r="M6" s="104" t="s">
        <v>245</v>
      </c>
      <c r="N6" s="116" t="s">
        <v>213</v>
      </c>
      <c r="O6" s="104" t="s">
        <v>262</v>
      </c>
      <c r="Q6" s="117" t="s">
        <v>252</v>
      </c>
      <c r="R6" s="117" t="s">
        <v>243</v>
      </c>
      <c r="S6" s="117" t="s">
        <v>244</v>
      </c>
      <c r="T6" s="116"/>
      <c r="U6" s="118" t="s">
        <v>253</v>
      </c>
      <c r="V6" s="118" t="s">
        <v>222</v>
      </c>
      <c r="W6" s="118" t="s">
        <v>223</v>
      </c>
      <c r="X6" s="118" t="s">
        <v>236</v>
      </c>
      <c r="Y6" s="119" t="s">
        <v>225</v>
      </c>
      <c r="AA6" s="116" t="s">
        <v>253</v>
      </c>
      <c r="AB6" s="116" t="s">
        <v>222</v>
      </c>
      <c r="AC6" s="116" t="s">
        <v>223</v>
      </c>
      <c r="AD6" s="116" t="s">
        <v>224</v>
      </c>
      <c r="AE6" s="116" t="s">
        <v>230</v>
      </c>
      <c r="AF6" s="116" t="s">
        <v>231</v>
      </c>
      <c r="AG6" s="116" t="s">
        <v>232</v>
      </c>
      <c r="AH6" s="116" t="s">
        <v>212</v>
      </c>
      <c r="AI6" s="104" t="s">
        <v>263</v>
      </c>
      <c r="AJ6" s="116" t="s">
        <v>213</v>
      </c>
      <c r="AK6" s="104" t="s">
        <v>257</v>
      </c>
      <c r="AO6" s="116" t="s">
        <v>253</v>
      </c>
      <c r="AP6" s="116" t="s">
        <v>255</v>
      </c>
      <c r="AQ6" s="116" t="s">
        <v>223</v>
      </c>
      <c r="AR6" s="116" t="s">
        <v>236</v>
      </c>
      <c r="AS6" s="116" t="s">
        <v>256</v>
      </c>
      <c r="AT6" s="116" t="s">
        <v>254</v>
      </c>
      <c r="AU6" s="116" t="s">
        <v>237</v>
      </c>
      <c r="AW6" s="114" t="s">
        <v>260</v>
      </c>
      <c r="AX6" s="114" t="s">
        <v>258</v>
      </c>
      <c r="AY6" s="114" t="s">
        <v>259</v>
      </c>
      <c r="AZ6" s="114" t="s">
        <v>237</v>
      </c>
    </row>
    <row r="7" spans="1:52" ht="12" customHeight="1" x14ac:dyDescent="0.15">
      <c r="A7" s="104"/>
      <c r="B7" s="115" t="s">
        <v>200</v>
      </c>
      <c r="C7" s="115" t="s">
        <v>200</v>
      </c>
      <c r="D7" s="104"/>
      <c r="E7" s="104"/>
      <c r="G7" s="104"/>
      <c r="H7" s="104" t="s">
        <v>200</v>
      </c>
      <c r="I7" s="104" t="s">
        <v>200</v>
      </c>
      <c r="J7" s="104"/>
      <c r="K7" s="104"/>
      <c r="L7" s="104" t="s">
        <v>214</v>
      </c>
      <c r="M7" s="104" t="s">
        <v>215</v>
      </c>
      <c r="N7" s="104" t="s">
        <v>117</v>
      </c>
      <c r="O7" s="104" t="s">
        <v>216</v>
      </c>
      <c r="Q7" s="189"/>
      <c r="R7" s="189" t="s">
        <v>200</v>
      </c>
      <c r="S7" s="189" t="s">
        <v>200</v>
      </c>
      <c r="T7" s="104"/>
      <c r="U7" s="190"/>
      <c r="V7" s="190" t="s">
        <v>200</v>
      </c>
      <c r="W7" s="190" t="s">
        <v>200</v>
      </c>
      <c r="X7" s="190" t="s">
        <v>226</v>
      </c>
      <c r="Y7" s="113"/>
      <c r="AA7" s="104"/>
      <c r="AB7" s="104" t="s">
        <v>200</v>
      </c>
      <c r="AC7" s="104" t="s">
        <v>200</v>
      </c>
      <c r="AD7" s="104" t="s">
        <v>233</v>
      </c>
      <c r="AE7" s="104" t="s">
        <v>234</v>
      </c>
      <c r="AF7" s="104"/>
      <c r="AG7" s="104"/>
      <c r="AH7" s="104" t="s">
        <v>214</v>
      </c>
      <c r="AI7" s="104" t="s">
        <v>215</v>
      </c>
      <c r="AJ7" s="104" t="s">
        <v>117</v>
      </c>
      <c r="AK7" s="104" t="s">
        <v>216</v>
      </c>
      <c r="AO7" s="104"/>
      <c r="AP7" s="104" t="s">
        <v>200</v>
      </c>
      <c r="AQ7" s="104" t="s">
        <v>200</v>
      </c>
      <c r="AR7" s="104" t="s">
        <v>226</v>
      </c>
      <c r="AS7" s="104"/>
      <c r="AT7" s="104" t="s">
        <v>238</v>
      </c>
      <c r="AU7" s="104" t="s">
        <v>239</v>
      </c>
      <c r="AW7" s="114"/>
      <c r="AX7" s="114"/>
      <c r="AY7" s="114" t="s">
        <v>238</v>
      </c>
      <c r="AZ7" s="114" t="s">
        <v>239</v>
      </c>
    </row>
    <row r="8" spans="1:52" ht="13.5" customHeight="1" x14ac:dyDescent="0.15">
      <c r="A8" s="126" t="s">
        <v>217</v>
      </c>
      <c r="B8" s="127">
        <f t="shared" ref="B8:D8" si="0">SUM(B9:B68)</f>
        <v>1750</v>
      </c>
      <c r="C8" s="127">
        <f t="shared" si="0"/>
        <v>2062.5</v>
      </c>
      <c r="D8" s="127">
        <f t="shared" si="0"/>
        <v>5208</v>
      </c>
      <c r="E8" s="127">
        <f>SUM(E9:E68)</f>
        <v>0</v>
      </c>
      <c r="G8" s="108" t="s">
        <v>217</v>
      </c>
      <c r="H8" s="129">
        <f t="shared" ref="H8:N8" si="1">SUM(H9:H68)</f>
        <v>1750</v>
      </c>
      <c r="I8" s="129">
        <f t="shared" si="1"/>
        <v>2062.5</v>
      </c>
      <c r="J8" s="129">
        <f t="shared" si="1"/>
        <v>5208</v>
      </c>
      <c r="K8" s="129">
        <f t="shared" si="1"/>
        <v>0</v>
      </c>
      <c r="L8" s="129">
        <f t="shared" si="1"/>
        <v>17374</v>
      </c>
      <c r="M8" s="129">
        <f t="shared" si="1"/>
        <v>6543156.9899999993</v>
      </c>
      <c r="N8" s="129">
        <f t="shared" si="1"/>
        <v>0.6</v>
      </c>
      <c r="O8" s="129">
        <f>SUM(O9:O68)</f>
        <v>981473.54849999992</v>
      </c>
      <c r="Q8" s="126" t="s">
        <v>217</v>
      </c>
      <c r="R8" s="127"/>
      <c r="S8" s="127"/>
      <c r="T8" s="128"/>
      <c r="U8" s="128"/>
      <c r="V8" s="127"/>
      <c r="W8" s="127"/>
      <c r="X8" s="128"/>
      <c r="Y8" s="127">
        <f>SUM(Y9:Y68)</f>
        <v>5208</v>
      </c>
      <c r="AA8" s="126" t="s">
        <v>217</v>
      </c>
      <c r="AB8" s="127"/>
      <c r="AC8" s="127"/>
      <c r="AD8" s="126"/>
      <c r="AE8" s="126"/>
      <c r="AF8" s="127">
        <f>SUM(AF9:AF68)</f>
        <v>5208</v>
      </c>
      <c r="AG8" s="127">
        <f>SUM(AG9:AG68)</f>
        <v>0</v>
      </c>
      <c r="AH8" s="126"/>
      <c r="AI8" s="129">
        <f>SUM(AI9:AI68)</f>
        <v>2441285.54</v>
      </c>
      <c r="AJ8" s="127"/>
      <c r="AK8" s="129">
        <f>SUM(AK9:AK68)</f>
        <v>366192.83100000001</v>
      </c>
      <c r="AM8" s="130"/>
      <c r="AO8" s="126" t="s">
        <v>217</v>
      </c>
      <c r="AP8" s="127"/>
      <c r="AQ8" s="127"/>
      <c r="AR8" s="126"/>
      <c r="AS8" s="127">
        <f>SUM(AS9:AS68)</f>
        <v>5208</v>
      </c>
      <c r="AT8" s="129">
        <f>SUM(AT9:AT68)</f>
        <v>2663</v>
      </c>
      <c r="AU8" s="129">
        <f>SUM(AU9:AU68)</f>
        <v>3432333</v>
      </c>
      <c r="AW8" s="126" t="s">
        <v>217</v>
      </c>
      <c r="AX8" s="127">
        <f>SUM(AX9:AX68)</f>
        <v>0</v>
      </c>
      <c r="AY8" s="127">
        <f>SUM(AY9:AY68)</f>
        <v>225440</v>
      </c>
      <c r="AZ8" s="127">
        <f>SUM(AZ9:AZ68)</f>
        <v>225440</v>
      </c>
    </row>
    <row r="9" spans="1:52" ht="42" x14ac:dyDescent="0.15">
      <c r="A9" s="105" t="str">
        <f>IF('Συμβατικά ΦΣ'!B4&lt;&gt;"",'Συμβατικά ΦΣ'!C4,"")</f>
        <v>Παλαιά συμβατικά φωτιστικά σώματα επί ιστού σε μεταλλικούς ιστούς ύψους 7-12 μέτρων με λαμπτήρα  (Na250W)</v>
      </c>
      <c r="B9" s="103">
        <f>IF('Συμβατικά ΦΣ'!B4&lt;&gt;"",'Συμβατικά ΦΣ'!I4,"")</f>
        <v>250</v>
      </c>
      <c r="C9" s="106">
        <f>IF('Συμβατικά ΦΣ'!B4&lt;&gt;"",'Συμβατικά ΦΣ'!J4,"")</f>
        <v>287.5</v>
      </c>
      <c r="D9" s="107">
        <f>IF('Συμβατικά ΦΣ'!B4&lt;&gt;"",'Συμβατικά ΦΣ'!L4,"")</f>
        <v>2380</v>
      </c>
      <c r="E9" s="103">
        <f>IF('Συμβατικά ΦΣ'!B4&lt;&gt;"",'Συμβατικά ΦΣ'!K4,"")</f>
        <v>0</v>
      </c>
      <c r="G9" s="105" t="str">
        <f>IF(A9&lt;&gt;"",A9,"")</f>
        <v>Παλαιά συμβατικά φωτιστικά σώματα επί ιστού σε μεταλλικούς ιστούς ύψους 7-12 μέτρων με λαμπτήρα  (Na250W)</v>
      </c>
      <c r="H9" s="102">
        <f>IF(G9&lt;&gt;"",B9,"")</f>
        <v>250</v>
      </c>
      <c r="I9" s="106">
        <f>IF(G9&lt;&gt;"",C9,"")</f>
        <v>287.5</v>
      </c>
      <c r="J9" s="107">
        <f>IF(G9&lt;&gt;"",D9,"")</f>
        <v>2380</v>
      </c>
      <c r="K9" s="107">
        <f>IF(G9&lt;&gt;"",E9,"")</f>
        <v>0</v>
      </c>
      <c r="L9" s="106">
        <f>IF(G9&lt;&gt;"",'Γενικά Δεδομένα'!$I$6*365,"")</f>
        <v>4343.5</v>
      </c>
      <c r="M9" s="109">
        <f>IF(G9&lt;&gt;"",Υπολογισμοί!G4,"")</f>
        <v>2972039.88</v>
      </c>
      <c r="N9" s="110">
        <f>IF(G9&lt;&gt;"",'Γενικά Δεδομένα'!$I$4,"")</f>
        <v>0.15</v>
      </c>
      <c r="O9" s="109">
        <f>IF(G9&lt;&gt;"",M9*'Γενικά Δεδομένα'!$I$4,"")</f>
        <v>445805.98199999996</v>
      </c>
      <c r="Q9" s="120" t="str">
        <f>IF(G9&lt;&gt;"",G9,"")</f>
        <v>Παλαιά συμβατικά φωτιστικά σώματα επί ιστού σε μεταλλικούς ιστούς ύψους 7-12 μέτρων με λαμπτήρα  (Na250W)</v>
      </c>
      <c r="R9" s="121">
        <f>IF(Q9&lt;&gt;"",H9,"")</f>
        <v>250</v>
      </c>
      <c r="S9" s="122">
        <f>IF(Q9&lt;&gt;"",I9,"")</f>
        <v>287.5</v>
      </c>
      <c r="T9" s="123"/>
      <c r="U9" s="124" t="str">
        <f>IF(Q9&lt;&gt;"",'Νέα ΦΣ'!D4,"")</f>
        <v>LED Ισχύος 110−150 W, χωρίς βραχίονα</v>
      </c>
      <c r="V9" s="113">
        <f>IF(Q9&lt;&gt;"",'Νέα ΦΣ'!M4,"")</f>
        <v>125.45</v>
      </c>
      <c r="W9" s="113">
        <f>IF(Q9&lt;&gt;"",V9,"")</f>
        <v>125.45</v>
      </c>
      <c r="X9" s="113" t="str">
        <f>IF(Q9&lt;&gt;"",'Νέα ΦΣ'!O4,"")</f>
        <v>ΌΧΙ</v>
      </c>
      <c r="Y9" s="107">
        <f>IF(Q9&lt;&gt;"",D9+E9,"")</f>
        <v>2380</v>
      </c>
      <c r="AA9" s="105" t="str">
        <f>IF(U9&lt;&gt;"",U9,"")</f>
        <v>LED Ισχύος 110−150 W, χωρίς βραχίονα</v>
      </c>
      <c r="AB9" s="102">
        <f>IF(AA9&lt;&gt;"",V9,"")</f>
        <v>125.45</v>
      </c>
      <c r="AC9" s="102">
        <f>IF(AA9&lt;&gt;"",W9,"")</f>
        <v>125.45</v>
      </c>
      <c r="AD9" s="102" t="str">
        <f>IF(AA9&lt;&gt;"",X9,"")</f>
        <v>ΌΧΙ</v>
      </c>
      <c r="AE9" s="102" t="str">
        <f>IF(Q9&lt;&gt;"",IF(AD9="ΝΑΙ",15,""),"")</f>
        <v/>
      </c>
      <c r="AF9" s="107">
        <f>IF(AA9&lt;&gt;"",D9+E9,"")</f>
        <v>2380</v>
      </c>
      <c r="AG9" s="102">
        <f>IF(AA9&lt;&gt;"",0,"")</f>
        <v>0</v>
      </c>
      <c r="AH9" s="109">
        <f>+L9</f>
        <v>4343.5</v>
      </c>
      <c r="AI9" s="109">
        <f>IF(AA9&lt;&gt;"",Υπολογισμοί!H4,"")</f>
        <v>1296843.1399999999</v>
      </c>
      <c r="AJ9" s="111">
        <f>IF(AA9&lt;&gt;"",'Γενικά Δεδομένα'!$I$4,"")</f>
        <v>0.15</v>
      </c>
      <c r="AK9" s="109">
        <f>IF(AA9&lt;&gt;"",AI9*AJ9,"")</f>
        <v>194526.47099999999</v>
      </c>
      <c r="AM9" s="125"/>
      <c r="AO9" s="124" t="str">
        <f>IF(AA9&lt;&gt;"",AA9,"")</f>
        <v>LED Ισχύος 110−150 W, χωρίς βραχίονα</v>
      </c>
      <c r="AP9" s="113">
        <f>IF(AO9&lt;&gt;"",AB9,"")</f>
        <v>125.45</v>
      </c>
      <c r="AQ9" s="113">
        <f>IF(AO9&lt;&gt;"",AC9,"")</f>
        <v>125.45</v>
      </c>
      <c r="AR9" s="113" t="str">
        <f>IF(AO9&lt;&gt;"",AD9,"")</f>
        <v>ΌΧΙ</v>
      </c>
      <c r="AS9" s="107">
        <f>IF(AO9&lt;&gt;"",'Νέα ΦΣ'!I4+'Νέα ΦΣ'!J4,"")</f>
        <v>2380</v>
      </c>
      <c r="AT9" s="106">
        <f>IF(AO9&lt;&gt;"",'Νέα ΦΣ'!N4,"")</f>
        <v>812</v>
      </c>
      <c r="AU9" s="106">
        <f>IF(AO9&lt;&gt;"",Υπολογισμοί!J4,"")</f>
        <v>1932560</v>
      </c>
      <c r="AW9" s="113">
        <f>IF(Βραχίονες!C4&lt;&gt;"",Βραχίονες!F4+Βραχίονες!G4,"")</f>
        <v>0</v>
      </c>
      <c r="AX9" s="106">
        <f>IF(Βραχίονες!C4&lt;&gt;"",Υπολογισμοί!K4,"")</f>
        <v>0</v>
      </c>
      <c r="AY9" s="106">
        <f>IF(Βραχίονες!C4&lt;&gt;"",Υπολογισμοί!L4,"")</f>
        <v>0</v>
      </c>
      <c r="AZ9" s="106">
        <f>IF(Βραχίονες!C4&lt;&gt;"",Υπολογισμοί!K4+Υπολογισμοί!L4,"")</f>
        <v>0</v>
      </c>
    </row>
    <row r="10" spans="1:52" ht="42" x14ac:dyDescent="0.15">
      <c r="A10" s="105" t="str">
        <f>IF('Συμβατικά ΦΣ'!B5&lt;&gt;"",'Συμβατικά ΦΣ'!C5,"")</f>
        <v>Παλαιά συμβατικά φωτιστικά σώματα επί ιστού σε μεταλλικούς ιστούς ύψους 7-12 μέτρων με λαμπτήρα  (Na250W)</v>
      </c>
      <c r="B10" s="103">
        <f>IF('Συμβατικά ΦΣ'!B5&lt;&gt;"",'Συμβατικά ΦΣ'!I5,"")</f>
        <v>250</v>
      </c>
      <c r="C10" s="106">
        <f>IF('Συμβατικά ΦΣ'!B5&lt;&gt;"",'Συμβατικά ΦΣ'!J5,"")</f>
        <v>287.5</v>
      </c>
      <c r="D10" s="107">
        <f>IF('Συμβατικά ΦΣ'!B5&lt;&gt;"",'Συμβατικά ΦΣ'!L5,"")</f>
        <v>2435</v>
      </c>
      <c r="E10" s="103">
        <f>IF('Συμβατικά ΦΣ'!B5&lt;&gt;"",'Συμβατικά ΦΣ'!K5,"")</f>
        <v>0</v>
      </c>
      <c r="G10" s="105" t="str">
        <f t="shared" ref="G10:G68" si="2">IF(A10&lt;&gt;"",A10,"")</f>
        <v>Παλαιά συμβατικά φωτιστικά σώματα επί ιστού σε μεταλλικούς ιστούς ύψους 7-12 μέτρων με λαμπτήρα  (Na250W)</v>
      </c>
      <c r="H10" s="102">
        <f t="shared" ref="H10:H68" si="3">IF(G10&lt;&gt;"",B10,"")</f>
        <v>250</v>
      </c>
      <c r="I10" s="106">
        <f t="shared" ref="I10:I68" si="4">IF(G10&lt;&gt;"",C10,"")</f>
        <v>287.5</v>
      </c>
      <c r="J10" s="107">
        <f t="shared" ref="J10:J68" si="5">IF(G10&lt;&gt;"",D10,"")</f>
        <v>2435</v>
      </c>
      <c r="K10" s="107">
        <f t="shared" ref="K10:K68" si="6">IF(G10&lt;&gt;"",E10,"")</f>
        <v>0</v>
      </c>
      <c r="L10" s="106">
        <f>IF(G10&lt;&gt;"",'Γενικά Δεδομένα'!$I$6*365,"")</f>
        <v>4343.5</v>
      </c>
      <c r="M10" s="109">
        <f>IF(G10&lt;&gt;"",Υπολογισμοί!G5,"")</f>
        <v>3040721.47</v>
      </c>
      <c r="N10" s="110">
        <f>IF(G10&lt;&gt;"",'Γενικά Δεδομένα'!$I$4,"")</f>
        <v>0.15</v>
      </c>
      <c r="O10" s="109">
        <f>IF(G10&lt;&gt;"",M10*'Γενικά Δεδομένα'!$I$4,"")</f>
        <v>456108.2205</v>
      </c>
      <c r="Q10" s="120" t="str">
        <f>IF(G10&lt;&gt;"",G10,"")</f>
        <v>Παλαιά συμβατικά φωτιστικά σώματα επί ιστού σε μεταλλικούς ιστούς ύψους 7-12 μέτρων με λαμπτήρα  (Na250W)</v>
      </c>
      <c r="R10" s="121">
        <f>IF(Q10&lt;&gt;"",H10,"")</f>
        <v>250</v>
      </c>
      <c r="S10" s="122">
        <f>IF(Q10&lt;&gt;"",I10,"")</f>
        <v>287.5</v>
      </c>
      <c r="T10" s="123"/>
      <c r="U10" s="124" t="str">
        <f>IF(Q10&lt;&gt;"",'Νέα ΦΣ'!D5,"")</f>
        <v>LED Ισχύος 80−110 W, χωρίς βραχίονα</v>
      </c>
      <c r="V10" s="113">
        <f>IF(Q10&lt;&gt;"",'Νέα ΦΣ'!M5,"")</f>
        <v>95.45</v>
      </c>
      <c r="W10" s="113">
        <f>IF(Q10&lt;&gt;"",V10,"")</f>
        <v>95.45</v>
      </c>
      <c r="X10" s="113" t="str">
        <f>IF(Q10&lt;&gt;"",'Νέα ΦΣ'!O5,"")</f>
        <v>ΌΧΙ</v>
      </c>
      <c r="Y10" s="107">
        <f>IF(Q10&lt;&gt;"",D10+E10,"")</f>
        <v>2435</v>
      </c>
      <c r="AA10" s="105" t="str">
        <f t="shared" ref="AA10:AA14" si="7">IF(U10&lt;&gt;"",U10,"")</f>
        <v>LED Ισχύος 80−110 W, χωρίς βραχίονα</v>
      </c>
      <c r="AB10" s="102">
        <f t="shared" ref="AB10:AB14" si="8">IF(AA10&lt;&gt;"",V10,"")</f>
        <v>95.45</v>
      </c>
      <c r="AC10" s="102">
        <f t="shared" ref="AC10:AC14" si="9">IF(AA10&lt;&gt;"",W10,"")</f>
        <v>95.45</v>
      </c>
      <c r="AD10" s="102" t="str">
        <f t="shared" ref="AD10:AD14" si="10">IF(AA10&lt;&gt;"",X10,"")</f>
        <v>ΌΧΙ</v>
      </c>
      <c r="AE10" s="102" t="str">
        <f t="shared" ref="AE10:AE14" si="11">IF(Q10&lt;&gt;"",IF(AD10="ΝΑΙ",15,""),"")</f>
        <v/>
      </c>
      <c r="AF10" s="107">
        <f t="shared" ref="AF10:AF14" si="12">IF(AA10&lt;&gt;"",D10+E10,"")</f>
        <v>2435</v>
      </c>
      <c r="AG10" s="102">
        <f t="shared" ref="AG10:AG14" si="13">IF(AA10&lt;&gt;"",0,"")</f>
        <v>0</v>
      </c>
      <c r="AH10" s="109">
        <f t="shared" ref="AH10:AH14" si="14">+L10</f>
        <v>4343.5</v>
      </c>
      <c r="AI10" s="109">
        <f>IF(AA10&lt;&gt;"",Υπολογισμοί!H5,"")</f>
        <v>1009519.53</v>
      </c>
      <c r="AJ10" s="111">
        <f>IF(AA10&lt;&gt;"",'Γενικά Δεδομένα'!$I$4,"")</f>
        <v>0.15</v>
      </c>
      <c r="AK10" s="109">
        <f t="shared" ref="AK10:AK14" si="15">IF(AA10&lt;&gt;"",AI10*AJ10,"")</f>
        <v>151427.9295</v>
      </c>
      <c r="AO10" s="124" t="str">
        <f t="shared" ref="AO10:AO68" si="16">IF(AA10&lt;&gt;"",AA10,"")</f>
        <v>LED Ισχύος 80−110 W, χωρίς βραχίονα</v>
      </c>
      <c r="AP10" s="113">
        <f t="shared" ref="AP10:AP68" si="17">IF(AO10&lt;&gt;"",AB10,"")</f>
        <v>95.45</v>
      </c>
      <c r="AQ10" s="113">
        <f t="shared" ref="AQ10:AQ68" si="18">IF(AO10&lt;&gt;"",AC10,"")</f>
        <v>95.45</v>
      </c>
      <c r="AR10" s="113" t="str">
        <f t="shared" ref="AR10:AR68" si="19">IF(AO10&lt;&gt;"",AD10,"")</f>
        <v>ΌΧΙ</v>
      </c>
      <c r="AS10" s="107">
        <f>IF(AO10&lt;&gt;"",'Νέα ΦΣ'!I5+'Νέα ΦΣ'!J5,"")</f>
        <v>2435</v>
      </c>
      <c r="AT10" s="106">
        <f>IF(AO10&lt;&gt;"",'Νέα ΦΣ'!N5,"")</f>
        <v>533</v>
      </c>
      <c r="AU10" s="106">
        <f>IF(AO10&lt;&gt;"",Υπολογισμοί!J5,"")</f>
        <v>1297855</v>
      </c>
      <c r="AW10" s="113">
        <f>IF(Βραχίονες!C5&lt;&gt;"",Βραχίονες!F5+Βραχίονες!G5,"")</f>
        <v>2435</v>
      </c>
      <c r="AX10" s="106">
        <f>IF(Βραχίονες!C5&lt;&gt;"",Υπολογισμοί!K5,"")</f>
        <v>0</v>
      </c>
      <c r="AY10" s="106">
        <f>IF(Βραχίονες!C5&lt;&gt;"",Υπολογισμοί!L5,"")</f>
        <v>194800</v>
      </c>
      <c r="AZ10" s="106">
        <f>IF(Βραχίονες!C5&lt;&gt;"",Υπολογισμοί!K5+Υπολογισμοί!L5,"")</f>
        <v>194800</v>
      </c>
    </row>
    <row r="11" spans="1:52" ht="42" x14ac:dyDescent="0.15">
      <c r="A11" s="105" t="str">
        <f>IF('Συμβατικά ΦΣ'!B6&lt;&gt;"",'Συμβατικά ΦΣ'!C6,"")</f>
        <v>Παλαιά συμβατικά φωτιστικά σώματα επί ιστού σε μεταλλικούς ιστούς ύψους 7-12 μέτρων με λαμπτήρα  (Na250W)</v>
      </c>
      <c r="B11" s="103">
        <f>IF('Συμβατικά ΦΣ'!B6&lt;&gt;"",'Συμβατικά ΦΣ'!I6,"")</f>
        <v>250</v>
      </c>
      <c r="C11" s="106">
        <f>IF('Συμβατικά ΦΣ'!B6&lt;&gt;"",'Συμβατικά ΦΣ'!J6,"")</f>
        <v>287.5</v>
      </c>
      <c r="D11" s="107">
        <f>IF('Συμβατικά ΦΣ'!B6&lt;&gt;"",'Συμβατικά ΦΣ'!L6,"")</f>
        <v>383</v>
      </c>
      <c r="E11" s="103">
        <f>IF('Συμβατικά ΦΣ'!B6&lt;&gt;"",'Συμβατικά ΦΣ'!K6,"")</f>
        <v>0</v>
      </c>
      <c r="G11" s="105" t="str">
        <f t="shared" si="2"/>
        <v>Παλαιά συμβατικά φωτιστικά σώματα επί ιστού σε μεταλλικούς ιστούς ύψους 7-12 μέτρων με λαμπτήρα  (Na250W)</v>
      </c>
      <c r="H11" s="102">
        <f t="shared" si="3"/>
        <v>250</v>
      </c>
      <c r="I11" s="106">
        <f t="shared" si="4"/>
        <v>287.5</v>
      </c>
      <c r="J11" s="107">
        <f t="shared" si="5"/>
        <v>383</v>
      </c>
      <c r="K11" s="107">
        <f t="shared" si="6"/>
        <v>0</v>
      </c>
      <c r="L11" s="106">
        <f>IF(G11&lt;&gt;"",'Γενικά Δεδομένα'!$I$6*365,"")</f>
        <v>4343.5</v>
      </c>
      <c r="M11" s="109">
        <f>IF(G11&lt;&gt;"",Υπολογισμοί!G6,"")</f>
        <v>478273.64</v>
      </c>
      <c r="N11" s="110">
        <f>IF(G11&lt;&gt;"",'Γενικά Δεδομένα'!$I$4,"")</f>
        <v>0.15</v>
      </c>
      <c r="O11" s="109">
        <f>IF(G11&lt;&gt;"",M11*'Γενικά Δεδομένα'!$I$4,"")</f>
        <v>71741.046000000002</v>
      </c>
      <c r="Q11" s="120" t="str">
        <f t="shared" ref="Q11:Q68" si="20">IF(G11&lt;&gt;"",G11,"")</f>
        <v>Παλαιά συμβατικά φωτιστικά σώματα επί ιστού σε μεταλλικούς ιστούς ύψους 7-12 μέτρων με λαμπτήρα  (Na250W)</v>
      </c>
      <c r="R11" s="121">
        <f t="shared" ref="R11:R68" si="21">IF(Q11&lt;&gt;"",H11,"")</f>
        <v>250</v>
      </c>
      <c r="S11" s="122">
        <f t="shared" ref="S11:S68" si="22">IF(Q11&lt;&gt;"",I11,"")</f>
        <v>287.5</v>
      </c>
      <c r="T11" s="123"/>
      <c r="U11" s="124" t="str">
        <f>IF(Q11&lt;&gt;"",'Νέα ΦΣ'!D6,"")</f>
        <v>LED Ισχύος 50−80 W, χωρίς βραχίονα</v>
      </c>
      <c r="V11" s="113">
        <f>IF(Q11&lt;&gt;"",'Νέα ΦΣ'!M6,"")</f>
        <v>76.19</v>
      </c>
      <c r="W11" s="113">
        <f t="shared" ref="W11:W68" si="23">IF(Q11&lt;&gt;"",V11,"")</f>
        <v>76.19</v>
      </c>
      <c r="X11" s="113" t="str">
        <f>IF(Q11&lt;&gt;"",'Νέα ΦΣ'!O6,"")</f>
        <v>ΌΧΙ</v>
      </c>
      <c r="Y11" s="107">
        <f t="shared" ref="Y11:Y68" si="24">IF(Q11&lt;&gt;"",D11+E11,"")</f>
        <v>383</v>
      </c>
      <c r="AA11" s="105" t="str">
        <f t="shared" si="7"/>
        <v>LED Ισχύος 50−80 W, χωρίς βραχίονα</v>
      </c>
      <c r="AB11" s="102">
        <f t="shared" si="8"/>
        <v>76.19</v>
      </c>
      <c r="AC11" s="102">
        <f t="shared" si="9"/>
        <v>76.19</v>
      </c>
      <c r="AD11" s="102" t="str">
        <f t="shared" si="10"/>
        <v>ΌΧΙ</v>
      </c>
      <c r="AE11" s="102" t="str">
        <f t="shared" si="11"/>
        <v/>
      </c>
      <c r="AF11" s="107">
        <f t="shared" si="12"/>
        <v>383</v>
      </c>
      <c r="AG11" s="102">
        <f t="shared" si="13"/>
        <v>0</v>
      </c>
      <c r="AH11" s="109">
        <f t="shared" si="14"/>
        <v>4343.5</v>
      </c>
      <c r="AI11" s="109">
        <f>IF(AA11&lt;&gt;"",Υπολογισμοί!H6,"")</f>
        <v>126746.67</v>
      </c>
      <c r="AJ11" s="111">
        <f>IF(AA11&lt;&gt;"",'Γενικά Δεδομένα'!$I$4,"")</f>
        <v>0.15</v>
      </c>
      <c r="AK11" s="109">
        <f t="shared" si="15"/>
        <v>19012.000499999998</v>
      </c>
      <c r="AM11" s="125"/>
      <c r="AO11" s="124" t="str">
        <f t="shared" si="16"/>
        <v>LED Ισχύος 50−80 W, χωρίς βραχίονα</v>
      </c>
      <c r="AP11" s="113">
        <f t="shared" si="17"/>
        <v>76.19</v>
      </c>
      <c r="AQ11" s="113">
        <f t="shared" si="18"/>
        <v>76.19</v>
      </c>
      <c r="AR11" s="113" t="str">
        <f t="shared" si="19"/>
        <v>ΌΧΙ</v>
      </c>
      <c r="AS11" s="107">
        <f>IF(AO11&lt;&gt;"",'Νέα ΦΣ'!I6+'Νέα ΦΣ'!J6,"")</f>
        <v>383</v>
      </c>
      <c r="AT11" s="106">
        <f>IF(AO11&lt;&gt;"",'Νέα ΦΣ'!N6,"")</f>
        <v>506</v>
      </c>
      <c r="AU11" s="106">
        <f>IF(AO11&lt;&gt;"",Υπολογισμοί!J6,"")</f>
        <v>193798</v>
      </c>
      <c r="AW11" s="113">
        <f>IF(Βραχίονες!C6&lt;&gt;"",Βραχίονες!F6+Βραχίονες!G6,"")</f>
        <v>383</v>
      </c>
      <c r="AX11" s="106">
        <f>IF(Βραχίονες!C6&lt;&gt;"",Υπολογισμοί!K6,"")</f>
        <v>0</v>
      </c>
      <c r="AY11" s="106">
        <f>IF(Βραχίονες!C6&lt;&gt;"",Υπολογισμοί!L6,"")</f>
        <v>30640</v>
      </c>
      <c r="AZ11" s="106">
        <f>IF(Βραχίονες!C6&lt;&gt;"",Υπολογισμοί!K6+Υπολογισμοί!L6,"")</f>
        <v>30640</v>
      </c>
    </row>
    <row r="12" spans="1:52" ht="31.5" x14ac:dyDescent="0.15">
      <c r="A12" s="105" t="str">
        <f>IF('Συμβατικά ΦΣ'!B7&lt;&gt;"",'Συμβατικά ΦΣ'!C7,"")</f>
        <v>Συμβατικός Προβολέας με λαμπτήρα των 1000W (FLL1000W)</v>
      </c>
      <c r="B12" s="103">
        <f>IF('Συμβατικά ΦΣ'!B7&lt;&gt;"",'Συμβατικά ΦΣ'!I7,"")</f>
        <v>1000</v>
      </c>
      <c r="C12" s="106">
        <f>IF('Συμβατικά ΦΣ'!B7&lt;&gt;"",'Συμβατικά ΦΣ'!J7,"")</f>
        <v>1200</v>
      </c>
      <c r="D12" s="107">
        <f>IF('Συμβατικά ΦΣ'!B7&lt;&gt;"",'Συμβατικά ΦΣ'!L7,"")</f>
        <v>10</v>
      </c>
      <c r="E12" s="103">
        <f>IF('Συμβατικά ΦΣ'!B7&lt;&gt;"",'Συμβατικά ΦΣ'!K7,"")</f>
        <v>0</v>
      </c>
      <c r="G12" s="105" t="str">
        <f t="shared" si="2"/>
        <v>Συμβατικός Προβολέας με λαμπτήρα των 1000W (FLL1000W)</v>
      </c>
      <c r="H12" s="102">
        <f t="shared" si="3"/>
        <v>1000</v>
      </c>
      <c r="I12" s="106">
        <f t="shared" si="4"/>
        <v>1200</v>
      </c>
      <c r="J12" s="107">
        <f t="shared" si="5"/>
        <v>10</v>
      </c>
      <c r="K12" s="107">
        <f t="shared" si="6"/>
        <v>0</v>
      </c>
      <c r="L12" s="106">
        <f>IF(G12&lt;&gt;"",'Γενικά Δεδομένα'!$I$6*365,"")</f>
        <v>4343.5</v>
      </c>
      <c r="M12" s="109">
        <f>IF(G12&lt;&gt;"",Υπολογισμοί!G7,"")</f>
        <v>52122</v>
      </c>
      <c r="N12" s="110">
        <f>IF(G12&lt;&gt;"",'Γενικά Δεδομένα'!$I$4,"")</f>
        <v>0.15</v>
      </c>
      <c r="O12" s="109">
        <f>IF(G12&lt;&gt;"",M12*'Γενικά Δεδομένα'!$I$4,"")</f>
        <v>7818.2999999999993</v>
      </c>
      <c r="Q12" s="120" t="str">
        <f t="shared" si="20"/>
        <v>Συμβατικός Προβολέας με λαμπτήρα των 1000W (FLL1000W)</v>
      </c>
      <c r="R12" s="121">
        <f t="shared" si="21"/>
        <v>1000</v>
      </c>
      <c r="S12" s="122">
        <f t="shared" si="22"/>
        <v>1200</v>
      </c>
      <c r="T12" s="123"/>
      <c r="U12" s="124" t="str">
        <f>IF(Q12&lt;&gt;"",'Νέα ΦΣ'!D7,"")</f>
        <v>LED Ισχύος 150-200 W, τυπου προβολεα (LEDFLL150-200W)</v>
      </c>
      <c r="V12" s="113">
        <f>IF(Q12&lt;&gt;"",'Νέα ΦΣ'!M7,"")</f>
        <v>188.24</v>
      </c>
      <c r="W12" s="113">
        <f t="shared" si="23"/>
        <v>188.24</v>
      </c>
      <c r="X12" s="113" t="str">
        <f>IF(Q12&lt;&gt;"",'Νέα ΦΣ'!O7,"")</f>
        <v>ΌΧΙ</v>
      </c>
      <c r="Y12" s="107">
        <f t="shared" si="24"/>
        <v>10</v>
      </c>
      <c r="AA12" s="105" t="str">
        <f t="shared" si="7"/>
        <v>LED Ισχύος 150-200 W, τυπου προβολεα (LEDFLL150-200W)</v>
      </c>
      <c r="AB12" s="102">
        <f t="shared" si="8"/>
        <v>188.24</v>
      </c>
      <c r="AC12" s="102">
        <f t="shared" si="9"/>
        <v>188.24</v>
      </c>
      <c r="AD12" s="102" t="str">
        <f t="shared" si="10"/>
        <v>ΌΧΙ</v>
      </c>
      <c r="AE12" s="102" t="str">
        <f t="shared" si="11"/>
        <v/>
      </c>
      <c r="AF12" s="107">
        <f t="shared" si="12"/>
        <v>10</v>
      </c>
      <c r="AG12" s="102">
        <f t="shared" si="13"/>
        <v>0</v>
      </c>
      <c r="AH12" s="109">
        <f t="shared" si="14"/>
        <v>4343.5</v>
      </c>
      <c r="AI12" s="109">
        <f>IF(AA12&lt;&gt;"",Υπολογισμοί!H7,"")</f>
        <v>8176.2</v>
      </c>
      <c r="AJ12" s="111">
        <f>IF(AA12&lt;&gt;"",'Γενικά Δεδομένα'!$I$4,"")</f>
        <v>0.15</v>
      </c>
      <c r="AK12" s="109">
        <f t="shared" si="15"/>
        <v>1226.4299999999998</v>
      </c>
      <c r="AO12" s="124" t="str">
        <f t="shared" si="16"/>
        <v>LED Ισχύος 150-200 W, τυπου προβολεα (LEDFLL150-200W)</v>
      </c>
      <c r="AP12" s="113">
        <f t="shared" si="17"/>
        <v>188.24</v>
      </c>
      <c r="AQ12" s="113">
        <f t="shared" si="18"/>
        <v>188.24</v>
      </c>
      <c r="AR12" s="113" t="str">
        <f t="shared" si="19"/>
        <v>ΌΧΙ</v>
      </c>
      <c r="AS12" s="107">
        <f>IF(AO12&lt;&gt;"",'Νέα ΦΣ'!I7+'Νέα ΦΣ'!J7,"")</f>
        <v>10</v>
      </c>
      <c r="AT12" s="106">
        <f>IF(AO12&lt;&gt;"",'Νέα ΦΣ'!N7,"")</f>
        <v>812</v>
      </c>
      <c r="AU12" s="106">
        <f>IF(AO12&lt;&gt;"",Υπολογισμοί!J7,"")</f>
        <v>8120</v>
      </c>
      <c r="AW12" s="113">
        <f>IF(Βραχίονες!C7&lt;&gt;"",Βραχίονες!F7+Βραχίονες!G7,"")</f>
        <v>0</v>
      </c>
      <c r="AX12" s="106">
        <f>IF(Βραχίονες!C7&lt;&gt;"",Υπολογισμοί!K7,"")</f>
        <v>0</v>
      </c>
      <c r="AY12" s="106">
        <f>IF(Βραχίονες!C7&lt;&gt;"",Υπολογισμοί!L7,"")</f>
        <v>0</v>
      </c>
      <c r="AZ12" s="106">
        <f>IF(Βραχίονες!C7&lt;&gt;"",Υπολογισμοί!K7+Υπολογισμοί!L7,"")</f>
        <v>0</v>
      </c>
    </row>
    <row r="13" spans="1:52" x14ac:dyDescent="0.15">
      <c r="A13" s="105"/>
      <c r="B13" s="103"/>
      <c r="C13" s="106"/>
      <c r="D13" s="107"/>
      <c r="E13" s="103"/>
      <c r="G13" s="105"/>
      <c r="H13" s="102"/>
      <c r="I13" s="106"/>
      <c r="J13" s="107"/>
      <c r="K13" s="107"/>
      <c r="L13" s="106"/>
      <c r="M13" s="109"/>
      <c r="N13" s="110"/>
      <c r="O13" s="109"/>
      <c r="Q13" s="120"/>
      <c r="R13" s="121"/>
      <c r="S13" s="122"/>
      <c r="T13" s="123"/>
      <c r="U13" s="124"/>
      <c r="V13" s="113"/>
      <c r="W13" s="113"/>
      <c r="X13" s="113"/>
      <c r="Y13" s="107"/>
      <c r="AA13" s="105"/>
      <c r="AB13" s="102"/>
      <c r="AC13" s="102"/>
      <c r="AD13" s="102"/>
      <c r="AE13" s="102"/>
      <c r="AF13" s="107"/>
      <c r="AG13" s="102"/>
      <c r="AH13" s="109"/>
      <c r="AI13" s="109"/>
      <c r="AJ13" s="111"/>
      <c r="AK13" s="109"/>
      <c r="AO13" s="124"/>
      <c r="AP13" s="113"/>
      <c r="AQ13" s="113"/>
      <c r="AR13" s="113"/>
      <c r="AS13" s="107"/>
      <c r="AT13" s="106"/>
      <c r="AU13" s="106"/>
      <c r="AW13" s="113"/>
      <c r="AX13" s="106"/>
      <c r="AY13" s="106"/>
      <c r="AZ13" s="106"/>
    </row>
    <row r="14" spans="1:52" x14ac:dyDescent="0.15">
      <c r="A14" s="105" t="str">
        <f>IF('Συμβατικά ΦΣ'!B8&lt;&gt;"",'Συμβατικά ΦΣ'!C8,"")</f>
        <v/>
      </c>
      <c r="B14" s="103" t="str">
        <f>IF('Συμβατικά ΦΣ'!B8&lt;&gt;"",'Συμβατικά ΦΣ'!I8,"")</f>
        <v/>
      </c>
      <c r="C14" s="106" t="str">
        <f>IF('Συμβατικά ΦΣ'!B8&lt;&gt;"",'Συμβατικά ΦΣ'!J8,"")</f>
        <v/>
      </c>
      <c r="D14" s="107" t="str">
        <f>IF('Συμβατικά ΦΣ'!B8&lt;&gt;"",'Συμβατικά ΦΣ'!L8,"")</f>
        <v/>
      </c>
      <c r="E14" s="103" t="str">
        <f>IF('Συμβατικά ΦΣ'!B8&lt;&gt;"",'Συμβατικά ΦΣ'!K8,"")</f>
        <v/>
      </c>
      <c r="G14" s="105" t="str">
        <f t="shared" si="2"/>
        <v/>
      </c>
      <c r="H14" s="102" t="str">
        <f t="shared" si="3"/>
        <v/>
      </c>
      <c r="I14" s="106" t="str">
        <f t="shared" si="4"/>
        <v/>
      </c>
      <c r="J14" s="107" t="str">
        <f t="shared" si="5"/>
        <v/>
      </c>
      <c r="K14" s="107" t="str">
        <f t="shared" si="6"/>
        <v/>
      </c>
      <c r="L14" s="106" t="str">
        <f>IF(G14&lt;&gt;"",'Γενικά Δεδομένα'!$I$6*365,"")</f>
        <v/>
      </c>
      <c r="M14" s="109" t="str">
        <f>IF(G14&lt;&gt;"",Υπολογισμοί!G9,"")</f>
        <v/>
      </c>
      <c r="N14" s="110" t="str">
        <f>IF(G14&lt;&gt;"",'Γενικά Δεδομένα'!$I$4,"")</f>
        <v/>
      </c>
      <c r="O14" s="109" t="str">
        <f>IF(G14&lt;&gt;"",M14*'Γενικά Δεδομένα'!$I$4,"")</f>
        <v/>
      </c>
      <c r="Q14" s="120" t="str">
        <f t="shared" si="20"/>
        <v/>
      </c>
      <c r="R14" s="121" t="str">
        <f t="shared" si="21"/>
        <v/>
      </c>
      <c r="S14" s="122" t="str">
        <f t="shared" si="22"/>
        <v/>
      </c>
      <c r="T14" s="123"/>
      <c r="U14" s="124" t="str">
        <f>IF(Q14&lt;&gt;"",'Νέα ΦΣ'!D9,"")</f>
        <v/>
      </c>
      <c r="V14" s="113" t="str">
        <f>IF(Q14&lt;&gt;"",'Νέα ΦΣ'!M9,"")</f>
        <v/>
      </c>
      <c r="W14" s="113" t="str">
        <f t="shared" si="23"/>
        <v/>
      </c>
      <c r="X14" s="113" t="str">
        <f>IF(Q14&lt;&gt;"",'Νέα ΦΣ'!O9,"")</f>
        <v/>
      </c>
      <c r="Y14" s="107" t="str">
        <f t="shared" si="24"/>
        <v/>
      </c>
      <c r="AA14" s="105" t="str">
        <f t="shared" si="7"/>
        <v/>
      </c>
      <c r="AB14" s="102" t="str">
        <f t="shared" si="8"/>
        <v/>
      </c>
      <c r="AC14" s="102" t="str">
        <f t="shared" si="9"/>
        <v/>
      </c>
      <c r="AD14" s="102" t="str">
        <f t="shared" si="10"/>
        <v/>
      </c>
      <c r="AE14" s="102" t="str">
        <f t="shared" si="11"/>
        <v/>
      </c>
      <c r="AF14" s="107" t="str">
        <f t="shared" si="12"/>
        <v/>
      </c>
      <c r="AG14" s="102" t="str">
        <f t="shared" si="13"/>
        <v/>
      </c>
      <c r="AH14" s="109" t="str">
        <f t="shared" si="14"/>
        <v/>
      </c>
      <c r="AI14" s="109" t="str">
        <f>IF(AA14&lt;&gt;"",Υπολογισμοί!H9,"")</f>
        <v/>
      </c>
      <c r="AJ14" s="111" t="str">
        <f>IF(AA14&lt;&gt;"",'Γενικά Δεδομένα'!$I$4,"")</f>
        <v/>
      </c>
      <c r="AK14" s="109" t="str">
        <f t="shared" si="15"/>
        <v/>
      </c>
      <c r="AO14" s="124" t="str">
        <f t="shared" si="16"/>
        <v/>
      </c>
      <c r="AP14" s="113" t="str">
        <f t="shared" si="17"/>
        <v/>
      </c>
      <c r="AQ14" s="113" t="str">
        <f t="shared" si="18"/>
        <v/>
      </c>
      <c r="AR14" s="113" t="str">
        <f t="shared" si="19"/>
        <v/>
      </c>
      <c r="AS14" s="107" t="str">
        <f>IF(AO14&lt;&gt;"",'Νέα ΦΣ'!I9+'Νέα ΦΣ'!J9,"")</f>
        <v/>
      </c>
      <c r="AT14" s="106" t="str">
        <f>IF(AO14&lt;&gt;"",'Νέα ΦΣ'!N9,"")</f>
        <v/>
      </c>
      <c r="AU14" s="106" t="str">
        <f>IF(AO14&lt;&gt;"",Υπολογισμοί!J9,"")</f>
        <v/>
      </c>
      <c r="AW14" s="113" t="str">
        <f>IF(Βραχίονες!C9&lt;&gt;"",Βραχίονες!F9+Βραχίονες!G9,"")</f>
        <v/>
      </c>
      <c r="AX14" s="106" t="str">
        <f>IF(Βραχίονες!C9&lt;&gt;"",Υπολογισμοί!K9,"")</f>
        <v/>
      </c>
      <c r="AY14" s="106" t="str">
        <f>IF(Βραχίονες!C9&lt;&gt;"",Υπολογισμοί!L9,"")</f>
        <v/>
      </c>
      <c r="AZ14" s="106" t="str">
        <f>IF(Βραχίονες!C9&lt;&gt;"",Υπολογισμοί!K9+Υπολογισμοί!L9,"")</f>
        <v/>
      </c>
    </row>
    <row r="15" spans="1:52" x14ac:dyDescent="0.15">
      <c r="A15" s="105" t="str">
        <f>IF('Συμβατικά ΦΣ'!B9&lt;&gt;"",'Συμβατικά ΦΣ'!C9,"")</f>
        <v/>
      </c>
      <c r="B15" s="103" t="str">
        <f>IF('Συμβατικά ΦΣ'!B9&lt;&gt;"",'Συμβατικά ΦΣ'!I9,"")</f>
        <v/>
      </c>
      <c r="C15" s="106" t="str">
        <f>IF('Συμβατικά ΦΣ'!B9&lt;&gt;"",'Συμβατικά ΦΣ'!J9,"")</f>
        <v/>
      </c>
      <c r="D15" s="107" t="str">
        <f>IF('Συμβατικά ΦΣ'!B9&lt;&gt;"",'Συμβατικά ΦΣ'!L9,"")</f>
        <v/>
      </c>
      <c r="E15" s="103" t="str">
        <f>IF('Συμβατικά ΦΣ'!B9&lt;&gt;"",'Συμβατικά ΦΣ'!K9,"")</f>
        <v/>
      </c>
      <c r="G15" s="105" t="str">
        <f t="shared" si="2"/>
        <v/>
      </c>
      <c r="H15" s="102" t="str">
        <f t="shared" si="3"/>
        <v/>
      </c>
      <c r="I15" s="106" t="str">
        <f t="shared" si="4"/>
        <v/>
      </c>
      <c r="J15" s="107" t="str">
        <f t="shared" si="5"/>
        <v/>
      </c>
      <c r="K15" s="107" t="str">
        <f t="shared" si="6"/>
        <v/>
      </c>
      <c r="L15" s="106" t="str">
        <f>IF(G15&lt;&gt;"",'Γενικά Δεδομένα'!$I$6*365,"")</f>
        <v/>
      </c>
      <c r="M15" s="109" t="str">
        <f>IF(G15&lt;&gt;"",Υπολογισμοί!G10,"")</f>
        <v/>
      </c>
      <c r="N15" s="110" t="str">
        <f>IF(G15&lt;&gt;"",'Γενικά Δεδομένα'!$I$4,"")</f>
        <v/>
      </c>
      <c r="O15" s="109" t="str">
        <f>IF(G15&lt;&gt;"",M15*'Γενικά Δεδομένα'!$I$4,"")</f>
        <v/>
      </c>
      <c r="Q15" s="120" t="str">
        <f t="shared" si="20"/>
        <v/>
      </c>
      <c r="R15" s="121" t="str">
        <f t="shared" si="21"/>
        <v/>
      </c>
      <c r="S15" s="122" t="str">
        <f t="shared" si="22"/>
        <v/>
      </c>
      <c r="T15" s="123"/>
      <c r="U15" s="124" t="str">
        <f>IF(Q15&lt;&gt;"",'Νέα ΦΣ'!D10,"")</f>
        <v/>
      </c>
      <c r="V15" s="113" t="str">
        <f>IF(Q15&lt;&gt;"",'Νέα ΦΣ'!M10,"")</f>
        <v/>
      </c>
      <c r="W15" s="113" t="str">
        <f t="shared" si="23"/>
        <v/>
      </c>
      <c r="X15" s="113" t="str">
        <f>IF(Q15&lt;&gt;"",'Νέα ΦΣ'!O10,"")</f>
        <v/>
      </c>
      <c r="Y15" s="107" t="str">
        <f t="shared" si="24"/>
        <v/>
      </c>
      <c r="AA15" s="105" t="str">
        <f t="shared" ref="AA15:AA68" si="25">IF(U15&lt;&gt;"",U15,"")</f>
        <v/>
      </c>
      <c r="AB15" s="102" t="str">
        <f t="shared" ref="AB15:AB68" si="26">IF(AA15&lt;&gt;"",V15,"")</f>
        <v/>
      </c>
      <c r="AC15" s="102" t="str">
        <f t="shared" ref="AC15:AC68" si="27">IF(AA15&lt;&gt;"",W15,"")</f>
        <v/>
      </c>
      <c r="AD15" s="102" t="str">
        <f t="shared" ref="AD15:AD68" si="28">IF(AA15&lt;&gt;"",X15,"")</f>
        <v/>
      </c>
      <c r="AE15" s="102" t="str">
        <f t="shared" ref="AE15:AE68" si="29">IF(Q15&lt;&gt;"",IF(AD15="ΝΑΙ",15,""),"")</f>
        <v/>
      </c>
      <c r="AF15" s="107" t="str">
        <f t="shared" ref="AF15:AF68" si="30">IF(AA15&lt;&gt;"",D15+E15,"")</f>
        <v/>
      </c>
      <c r="AG15" s="102" t="str">
        <f t="shared" ref="AG15:AG68" si="31">IF(AA15&lt;&gt;"",0,"")</f>
        <v/>
      </c>
      <c r="AH15" s="109" t="str">
        <f t="shared" ref="AH15:AH68" si="32">+L15</f>
        <v/>
      </c>
      <c r="AI15" s="109" t="str">
        <f>IF(AA15&lt;&gt;"",Υπολογισμοί!H10,"")</f>
        <v/>
      </c>
      <c r="AJ15" s="111" t="str">
        <f>IF(AA15&lt;&gt;"",'Γενικά Δεδομένα'!$I$4,"")</f>
        <v/>
      </c>
      <c r="AK15" s="109" t="str">
        <f t="shared" ref="AK15:AK68" si="33">IF(AA15&lt;&gt;"",AI15*AJ15,"")</f>
        <v/>
      </c>
      <c r="AO15" s="124" t="str">
        <f t="shared" si="16"/>
        <v/>
      </c>
      <c r="AP15" s="113" t="str">
        <f t="shared" si="17"/>
        <v/>
      </c>
      <c r="AQ15" s="113" t="str">
        <f t="shared" si="18"/>
        <v/>
      </c>
      <c r="AR15" s="113" t="str">
        <f t="shared" si="19"/>
        <v/>
      </c>
      <c r="AS15" s="107" t="str">
        <f>IF(AO15&lt;&gt;"",'Νέα ΦΣ'!I10+'Νέα ΦΣ'!J10,"")</f>
        <v/>
      </c>
      <c r="AT15" s="106" t="str">
        <f>IF(AO15&lt;&gt;"",'Νέα ΦΣ'!N10,"")</f>
        <v/>
      </c>
      <c r="AU15" s="106" t="str">
        <f>IF(AO15&lt;&gt;"",Υπολογισμοί!J10,"")</f>
        <v/>
      </c>
      <c r="AW15" s="113" t="str">
        <f>IF(Βραχίονες!C10&lt;&gt;"",Βραχίονες!F10+Βραχίονες!G10,"")</f>
        <v/>
      </c>
      <c r="AX15" s="106" t="str">
        <f>IF(Βραχίονες!C10&lt;&gt;"",Υπολογισμοί!K10,"")</f>
        <v/>
      </c>
      <c r="AY15" s="106" t="str">
        <f>IF(Βραχίονες!C10&lt;&gt;"",Υπολογισμοί!L10,"")</f>
        <v/>
      </c>
      <c r="AZ15" s="106" t="str">
        <f>IF(Βραχίονες!C10&lt;&gt;"",Υπολογισμοί!K10+Υπολογισμοί!L10,"")</f>
        <v/>
      </c>
    </row>
    <row r="16" spans="1:52" x14ac:dyDescent="0.15">
      <c r="A16" s="105" t="str">
        <f>IF('Συμβατικά ΦΣ'!B10&lt;&gt;"",'Συμβατικά ΦΣ'!C10,"")</f>
        <v/>
      </c>
      <c r="B16" s="103" t="str">
        <f>IF('Συμβατικά ΦΣ'!B10&lt;&gt;"",'Συμβατικά ΦΣ'!I10,"")</f>
        <v/>
      </c>
      <c r="C16" s="106" t="str">
        <f>IF('Συμβατικά ΦΣ'!B10&lt;&gt;"",'Συμβατικά ΦΣ'!J10,"")</f>
        <v/>
      </c>
      <c r="D16" s="107" t="str">
        <f>IF('Συμβατικά ΦΣ'!B10&lt;&gt;"",'Συμβατικά ΦΣ'!L10,"")</f>
        <v/>
      </c>
      <c r="E16" s="103" t="str">
        <f>IF('Συμβατικά ΦΣ'!B10&lt;&gt;"",'Συμβατικά ΦΣ'!K10,"")</f>
        <v/>
      </c>
      <c r="G16" s="105" t="str">
        <f t="shared" si="2"/>
        <v/>
      </c>
      <c r="H16" s="102" t="str">
        <f t="shared" si="3"/>
        <v/>
      </c>
      <c r="I16" s="106" t="str">
        <f t="shared" si="4"/>
        <v/>
      </c>
      <c r="J16" s="107" t="str">
        <f t="shared" si="5"/>
        <v/>
      </c>
      <c r="K16" s="107" t="str">
        <f t="shared" si="6"/>
        <v/>
      </c>
      <c r="L16" s="106" t="str">
        <f>IF(G16&lt;&gt;"",'Γενικά Δεδομένα'!$I$6*365,"")</f>
        <v/>
      </c>
      <c r="M16" s="109" t="str">
        <f>IF(G16&lt;&gt;"",Υπολογισμοί!G11,"")</f>
        <v/>
      </c>
      <c r="N16" s="110" t="str">
        <f>IF(G16&lt;&gt;"",'Γενικά Δεδομένα'!$I$4,"")</f>
        <v/>
      </c>
      <c r="O16" s="109" t="str">
        <f>IF(G16&lt;&gt;"",M16*'Γενικά Δεδομένα'!$I$4,"")</f>
        <v/>
      </c>
      <c r="Q16" s="120" t="str">
        <f t="shared" si="20"/>
        <v/>
      </c>
      <c r="R16" s="121" t="str">
        <f t="shared" si="21"/>
        <v/>
      </c>
      <c r="S16" s="122" t="str">
        <f t="shared" si="22"/>
        <v/>
      </c>
      <c r="T16" s="123"/>
      <c r="U16" s="124" t="str">
        <f>IF(Q16&lt;&gt;"",'Νέα ΦΣ'!D11,"")</f>
        <v/>
      </c>
      <c r="V16" s="113" t="str">
        <f>IF(Q16&lt;&gt;"",'Νέα ΦΣ'!M11,"")</f>
        <v/>
      </c>
      <c r="W16" s="113" t="str">
        <f t="shared" si="23"/>
        <v/>
      </c>
      <c r="X16" s="113" t="str">
        <f>IF(Q16&lt;&gt;"",'Νέα ΦΣ'!O11,"")</f>
        <v/>
      </c>
      <c r="Y16" s="107" t="str">
        <f t="shared" si="24"/>
        <v/>
      </c>
      <c r="AA16" s="105" t="str">
        <f t="shared" si="25"/>
        <v/>
      </c>
      <c r="AB16" s="102" t="str">
        <f t="shared" si="26"/>
        <v/>
      </c>
      <c r="AC16" s="102" t="str">
        <f t="shared" si="27"/>
        <v/>
      </c>
      <c r="AD16" s="102" t="str">
        <f t="shared" si="28"/>
        <v/>
      </c>
      <c r="AE16" s="102" t="str">
        <f t="shared" si="29"/>
        <v/>
      </c>
      <c r="AF16" s="107" t="str">
        <f t="shared" si="30"/>
        <v/>
      </c>
      <c r="AG16" s="102" t="str">
        <f t="shared" si="31"/>
        <v/>
      </c>
      <c r="AH16" s="109" t="str">
        <f t="shared" si="32"/>
        <v/>
      </c>
      <c r="AI16" s="109" t="str">
        <f>IF(AA16&lt;&gt;"",Υπολογισμοί!H11,"")</f>
        <v/>
      </c>
      <c r="AJ16" s="111" t="str">
        <f>IF(AA16&lt;&gt;"",'Γενικά Δεδομένα'!$I$4,"")</f>
        <v/>
      </c>
      <c r="AK16" s="109" t="str">
        <f t="shared" si="33"/>
        <v/>
      </c>
      <c r="AO16" s="124" t="str">
        <f t="shared" si="16"/>
        <v/>
      </c>
      <c r="AP16" s="113" t="str">
        <f t="shared" si="17"/>
        <v/>
      </c>
      <c r="AQ16" s="113" t="str">
        <f t="shared" si="18"/>
        <v/>
      </c>
      <c r="AR16" s="113" t="str">
        <f t="shared" si="19"/>
        <v/>
      </c>
      <c r="AS16" s="107" t="str">
        <f>IF(AO16&lt;&gt;"",'Νέα ΦΣ'!I11+'Νέα ΦΣ'!J11,"")</f>
        <v/>
      </c>
      <c r="AT16" s="106" t="str">
        <f>IF(AO16&lt;&gt;"",'Νέα ΦΣ'!N11,"")</f>
        <v/>
      </c>
      <c r="AU16" s="106" t="str">
        <f>IF(AO16&lt;&gt;"",Υπολογισμοί!J11,"")</f>
        <v/>
      </c>
      <c r="AW16" s="113" t="str">
        <f>IF(Βραχίονες!C11&lt;&gt;"",Βραχίονες!F11+Βραχίονες!G11,"")</f>
        <v/>
      </c>
      <c r="AX16" s="106" t="str">
        <f>IF(Βραχίονες!C11&lt;&gt;"",Υπολογισμοί!K11,"")</f>
        <v/>
      </c>
      <c r="AY16" s="106" t="str">
        <f>IF(Βραχίονες!C11&lt;&gt;"",Υπολογισμοί!L11,"")</f>
        <v/>
      </c>
      <c r="AZ16" s="106" t="str">
        <f>IF(Βραχίονες!C11&lt;&gt;"",Υπολογισμοί!K11+Υπολογισμοί!L11,"")</f>
        <v/>
      </c>
    </row>
    <row r="17" spans="1:52" x14ac:dyDescent="0.15">
      <c r="A17" s="105"/>
      <c r="B17" s="103"/>
      <c r="C17" s="106"/>
      <c r="D17" s="107"/>
      <c r="E17" s="103"/>
      <c r="G17" s="105"/>
      <c r="H17" s="102"/>
      <c r="I17" s="106"/>
      <c r="J17" s="107"/>
      <c r="K17" s="107"/>
      <c r="L17" s="106"/>
      <c r="M17" s="109"/>
      <c r="N17" s="110"/>
      <c r="O17" s="109"/>
      <c r="Q17" s="120" t="str">
        <f t="shared" si="20"/>
        <v/>
      </c>
      <c r="R17" s="121" t="str">
        <f t="shared" si="21"/>
        <v/>
      </c>
      <c r="S17" s="122" t="str">
        <f t="shared" si="22"/>
        <v/>
      </c>
      <c r="T17" s="123"/>
      <c r="U17" s="124" t="str">
        <f>IF(Q17&lt;&gt;"",'Νέα ΦΣ'!#REF!,"")</f>
        <v/>
      </c>
      <c r="V17" s="113" t="str">
        <f>IF(Q17&lt;&gt;"",'Νέα ΦΣ'!#REF!,"")</f>
        <v/>
      </c>
      <c r="W17" s="113" t="str">
        <f t="shared" si="23"/>
        <v/>
      </c>
      <c r="X17" s="113" t="str">
        <f>IF(Q17&lt;&gt;"",'Νέα ΦΣ'!#REF!,"")</f>
        <v/>
      </c>
      <c r="Y17" s="107" t="str">
        <f t="shared" si="24"/>
        <v/>
      </c>
      <c r="AA17" s="105" t="str">
        <f t="shared" si="25"/>
        <v/>
      </c>
      <c r="AB17" s="102" t="str">
        <f t="shared" si="26"/>
        <v/>
      </c>
      <c r="AC17" s="102" t="str">
        <f t="shared" si="27"/>
        <v/>
      </c>
      <c r="AD17" s="102" t="str">
        <f t="shared" si="28"/>
        <v/>
      </c>
      <c r="AE17" s="102" t="str">
        <f t="shared" si="29"/>
        <v/>
      </c>
      <c r="AF17" s="107" t="str">
        <f t="shared" si="30"/>
        <v/>
      </c>
      <c r="AG17" s="102" t="str">
        <f t="shared" si="31"/>
        <v/>
      </c>
      <c r="AH17" s="109">
        <f t="shared" si="32"/>
        <v>0</v>
      </c>
      <c r="AI17" s="109" t="str">
        <f>IF(AA17&lt;&gt;"",Υπολογισμοί!H12,"")</f>
        <v/>
      </c>
      <c r="AJ17" s="111" t="str">
        <f>IF(AA17&lt;&gt;"",'Γενικά Δεδομένα'!$I$4,"")</f>
        <v/>
      </c>
      <c r="AK17" s="109" t="str">
        <f t="shared" si="33"/>
        <v/>
      </c>
      <c r="AO17" s="124" t="str">
        <f t="shared" si="16"/>
        <v/>
      </c>
      <c r="AP17" s="113" t="str">
        <f t="shared" si="17"/>
        <v/>
      </c>
      <c r="AQ17" s="113" t="str">
        <f t="shared" si="18"/>
        <v/>
      </c>
      <c r="AR17" s="113" t="str">
        <f t="shared" si="19"/>
        <v/>
      </c>
      <c r="AS17" s="107" t="str">
        <f>IF(AO17&lt;&gt;"",'Νέα ΦΣ'!#REF!+'Νέα ΦΣ'!#REF!,"")</f>
        <v/>
      </c>
      <c r="AT17" s="106" t="str">
        <f>IF(AO17&lt;&gt;"",'Νέα ΦΣ'!#REF!,"")</f>
        <v/>
      </c>
      <c r="AU17" s="106" t="str">
        <f>IF(AO17&lt;&gt;"",Υπολογισμοί!J12,"")</f>
        <v/>
      </c>
      <c r="AW17" s="113" t="str">
        <f>IF(Βραχίονες!C12&lt;&gt;"",Βραχίονες!F12+Βραχίονες!G12,"")</f>
        <v/>
      </c>
      <c r="AX17" s="106" t="str">
        <f>IF(Βραχίονες!C12&lt;&gt;"",Υπολογισμοί!K12,"")</f>
        <v/>
      </c>
      <c r="AY17" s="106" t="str">
        <f>IF(Βραχίονες!C12&lt;&gt;"",Υπολογισμοί!L12,"")</f>
        <v/>
      </c>
      <c r="AZ17" s="106" t="str">
        <f>IF(Βραχίονες!C12&lt;&gt;"",Υπολογισμοί!K12+Υπολογισμοί!L12,"")</f>
        <v/>
      </c>
    </row>
    <row r="18" spans="1:52" x14ac:dyDescent="0.15">
      <c r="A18" s="105"/>
      <c r="B18" s="103"/>
      <c r="C18" s="106"/>
      <c r="D18" s="107"/>
      <c r="E18" s="103"/>
      <c r="G18" s="105"/>
      <c r="H18" s="102"/>
      <c r="I18" s="106"/>
      <c r="J18" s="107"/>
      <c r="K18" s="107"/>
      <c r="L18" s="106"/>
      <c r="M18" s="109"/>
      <c r="N18" s="110"/>
      <c r="O18" s="109"/>
      <c r="Q18" s="120" t="str">
        <f t="shared" si="20"/>
        <v/>
      </c>
      <c r="R18" s="121" t="str">
        <f t="shared" si="21"/>
        <v/>
      </c>
      <c r="S18" s="122" t="str">
        <f t="shared" si="22"/>
        <v/>
      </c>
      <c r="T18" s="123"/>
      <c r="U18" s="124" t="str">
        <f>IF(Q18&lt;&gt;"",'Νέα ΦΣ'!#REF!,"")</f>
        <v/>
      </c>
      <c r="V18" s="113" t="str">
        <f>IF(Q18&lt;&gt;"",'Νέα ΦΣ'!#REF!,"")</f>
        <v/>
      </c>
      <c r="W18" s="113" t="str">
        <f t="shared" si="23"/>
        <v/>
      </c>
      <c r="X18" s="113" t="str">
        <f>IF(Q18&lt;&gt;"",'Νέα ΦΣ'!#REF!,"")</f>
        <v/>
      </c>
      <c r="Y18" s="107" t="str">
        <f t="shared" si="24"/>
        <v/>
      </c>
      <c r="AA18" s="105" t="str">
        <f t="shared" si="25"/>
        <v/>
      </c>
      <c r="AB18" s="102" t="str">
        <f t="shared" si="26"/>
        <v/>
      </c>
      <c r="AC18" s="102" t="str">
        <f t="shared" si="27"/>
        <v/>
      </c>
      <c r="AD18" s="102" t="str">
        <f t="shared" si="28"/>
        <v/>
      </c>
      <c r="AE18" s="102" t="str">
        <f t="shared" si="29"/>
        <v/>
      </c>
      <c r="AF18" s="107" t="str">
        <f t="shared" si="30"/>
        <v/>
      </c>
      <c r="AG18" s="102" t="str">
        <f t="shared" si="31"/>
        <v/>
      </c>
      <c r="AH18" s="109">
        <f t="shared" si="32"/>
        <v>0</v>
      </c>
      <c r="AI18" s="109" t="str">
        <f>IF(AA18&lt;&gt;"",Υπολογισμοί!H13,"")</f>
        <v/>
      </c>
      <c r="AJ18" s="111" t="str">
        <f>IF(AA18&lt;&gt;"",'Γενικά Δεδομένα'!$I$4,"")</f>
        <v/>
      </c>
      <c r="AK18" s="109" t="str">
        <f t="shared" si="33"/>
        <v/>
      </c>
      <c r="AO18" s="124" t="str">
        <f t="shared" si="16"/>
        <v/>
      </c>
      <c r="AP18" s="113" t="str">
        <f t="shared" si="17"/>
        <v/>
      </c>
      <c r="AQ18" s="113" t="str">
        <f t="shared" si="18"/>
        <v/>
      </c>
      <c r="AR18" s="113" t="str">
        <f t="shared" si="19"/>
        <v/>
      </c>
      <c r="AS18" s="107" t="str">
        <f>IF(AO18&lt;&gt;"",'Νέα ΦΣ'!#REF!+'Νέα ΦΣ'!#REF!,"")</f>
        <v/>
      </c>
      <c r="AT18" s="106" t="str">
        <f>IF(AO18&lt;&gt;"",'Νέα ΦΣ'!#REF!,"")</f>
        <v/>
      </c>
      <c r="AU18" s="106" t="str">
        <f>IF(AO18&lt;&gt;"",Υπολογισμοί!J13,"")</f>
        <v/>
      </c>
      <c r="AW18" s="113" t="str">
        <f>IF(Βραχίονες!C13&lt;&gt;"",Βραχίονες!F13+Βραχίονες!G13,"")</f>
        <v/>
      </c>
      <c r="AX18" s="106" t="str">
        <f>IF(Βραχίονες!C13&lt;&gt;"",Υπολογισμοί!K13,"")</f>
        <v/>
      </c>
      <c r="AY18" s="106" t="str">
        <f>IF(Βραχίονες!C13&lt;&gt;"",Υπολογισμοί!L13,"")</f>
        <v/>
      </c>
      <c r="AZ18" s="106" t="str">
        <f>IF(Βραχίονες!C13&lt;&gt;"",Υπολογισμοί!K13+Υπολογισμοί!L13,"")</f>
        <v/>
      </c>
    </row>
    <row r="19" spans="1:52" x14ac:dyDescent="0.15">
      <c r="A19" s="105"/>
      <c r="B19" s="103"/>
      <c r="C19" s="106"/>
      <c r="D19" s="107"/>
      <c r="E19" s="103"/>
      <c r="G19" s="105"/>
      <c r="H19" s="102"/>
      <c r="I19" s="106"/>
      <c r="J19" s="107"/>
      <c r="K19" s="107"/>
      <c r="L19" s="106"/>
      <c r="M19" s="109"/>
      <c r="N19" s="110"/>
      <c r="O19" s="109"/>
      <c r="Q19" s="120" t="str">
        <f t="shared" si="20"/>
        <v/>
      </c>
      <c r="R19" s="121" t="str">
        <f t="shared" si="21"/>
        <v/>
      </c>
      <c r="S19" s="122" t="str">
        <f t="shared" si="22"/>
        <v/>
      </c>
      <c r="T19" s="123"/>
      <c r="U19" s="124" t="str">
        <f>IF(Q19&lt;&gt;"",'Νέα ΦΣ'!#REF!,"")</f>
        <v/>
      </c>
      <c r="V19" s="113" t="str">
        <f>IF(Q19&lt;&gt;"",'Νέα ΦΣ'!#REF!,"")</f>
        <v/>
      </c>
      <c r="W19" s="113" t="str">
        <f t="shared" si="23"/>
        <v/>
      </c>
      <c r="X19" s="113" t="str">
        <f>IF(Q19&lt;&gt;"",'Νέα ΦΣ'!#REF!,"")</f>
        <v/>
      </c>
      <c r="Y19" s="107" t="str">
        <f t="shared" si="24"/>
        <v/>
      </c>
      <c r="AA19" s="105" t="str">
        <f t="shared" si="25"/>
        <v/>
      </c>
      <c r="AB19" s="102" t="str">
        <f t="shared" si="26"/>
        <v/>
      </c>
      <c r="AC19" s="102" t="str">
        <f t="shared" si="27"/>
        <v/>
      </c>
      <c r="AD19" s="102" t="str">
        <f t="shared" si="28"/>
        <v/>
      </c>
      <c r="AE19" s="102" t="str">
        <f t="shared" si="29"/>
        <v/>
      </c>
      <c r="AF19" s="107" t="str">
        <f t="shared" si="30"/>
        <v/>
      </c>
      <c r="AG19" s="102" t="str">
        <f t="shared" si="31"/>
        <v/>
      </c>
      <c r="AH19" s="109">
        <f t="shared" si="32"/>
        <v>0</v>
      </c>
      <c r="AI19" s="109" t="str">
        <f>IF(AA19&lt;&gt;"",Υπολογισμοί!H14,"")</f>
        <v/>
      </c>
      <c r="AJ19" s="111" t="str">
        <f>IF(AA19&lt;&gt;"",'Γενικά Δεδομένα'!$I$4,"")</f>
        <v/>
      </c>
      <c r="AK19" s="109" t="str">
        <f t="shared" si="33"/>
        <v/>
      </c>
      <c r="AO19" s="124" t="str">
        <f t="shared" si="16"/>
        <v/>
      </c>
      <c r="AP19" s="113" t="str">
        <f t="shared" si="17"/>
        <v/>
      </c>
      <c r="AQ19" s="113" t="str">
        <f t="shared" si="18"/>
        <v/>
      </c>
      <c r="AR19" s="113" t="str">
        <f t="shared" si="19"/>
        <v/>
      </c>
      <c r="AS19" s="107" t="str">
        <f>IF(AO19&lt;&gt;"",'Νέα ΦΣ'!#REF!+'Νέα ΦΣ'!#REF!,"")</f>
        <v/>
      </c>
      <c r="AT19" s="106" t="str">
        <f>IF(AO19&lt;&gt;"",'Νέα ΦΣ'!#REF!,"")</f>
        <v/>
      </c>
      <c r="AU19" s="106" t="str">
        <f>IF(AO19&lt;&gt;"",Υπολογισμοί!J14,"")</f>
        <v/>
      </c>
      <c r="AW19" s="113" t="str">
        <f>IF(Βραχίονες!C14&lt;&gt;"",Βραχίονες!F14+Βραχίονες!G14,"")</f>
        <v/>
      </c>
      <c r="AX19" s="106" t="str">
        <f>IF(Βραχίονες!C14&lt;&gt;"",Υπολογισμοί!K14,"")</f>
        <v/>
      </c>
      <c r="AY19" s="106" t="str">
        <f>IF(Βραχίονες!C14&lt;&gt;"",Υπολογισμοί!L14,"")</f>
        <v/>
      </c>
      <c r="AZ19" s="106" t="str">
        <f>IF(Βραχίονες!C14&lt;&gt;"",Υπολογισμοί!K14+Υπολογισμοί!L14,"")</f>
        <v/>
      </c>
    </row>
    <row r="20" spans="1:52" x14ac:dyDescent="0.15">
      <c r="A20" s="105"/>
      <c r="B20" s="103"/>
      <c r="C20" s="106"/>
      <c r="D20" s="107"/>
      <c r="E20" s="103"/>
      <c r="G20" s="105"/>
      <c r="H20" s="102"/>
      <c r="I20" s="106"/>
      <c r="J20" s="107"/>
      <c r="K20" s="107"/>
      <c r="L20" s="106"/>
      <c r="M20" s="109"/>
      <c r="N20" s="110"/>
      <c r="O20" s="109"/>
      <c r="Q20" s="120" t="str">
        <f t="shared" si="20"/>
        <v/>
      </c>
      <c r="R20" s="121" t="str">
        <f t="shared" si="21"/>
        <v/>
      </c>
      <c r="S20" s="122" t="str">
        <f t="shared" si="22"/>
        <v/>
      </c>
      <c r="T20" s="123"/>
      <c r="U20" s="124" t="str">
        <f>IF(Q20&lt;&gt;"",'Νέα ΦΣ'!D12,"")</f>
        <v/>
      </c>
      <c r="V20" s="113" t="str">
        <f>IF(Q20&lt;&gt;"",'Νέα ΦΣ'!M12,"")</f>
        <v/>
      </c>
      <c r="W20" s="113" t="str">
        <f t="shared" si="23"/>
        <v/>
      </c>
      <c r="X20" s="113" t="str">
        <f>IF(Q20&lt;&gt;"",'Νέα ΦΣ'!O12,"")</f>
        <v/>
      </c>
      <c r="Y20" s="107" t="str">
        <f t="shared" si="24"/>
        <v/>
      </c>
      <c r="AA20" s="105" t="str">
        <f t="shared" si="25"/>
        <v/>
      </c>
      <c r="AB20" s="102" t="str">
        <f t="shared" si="26"/>
        <v/>
      </c>
      <c r="AC20" s="102" t="str">
        <f t="shared" si="27"/>
        <v/>
      </c>
      <c r="AD20" s="102" t="str">
        <f t="shared" si="28"/>
        <v/>
      </c>
      <c r="AE20" s="102" t="str">
        <f t="shared" si="29"/>
        <v/>
      </c>
      <c r="AF20" s="107" t="str">
        <f t="shared" si="30"/>
        <v/>
      </c>
      <c r="AG20" s="102" t="str">
        <f t="shared" si="31"/>
        <v/>
      </c>
      <c r="AH20" s="109">
        <f t="shared" si="32"/>
        <v>0</v>
      </c>
      <c r="AI20" s="109" t="str">
        <f>IF(AA20&lt;&gt;"",Υπολογισμοί!H15,"")</f>
        <v/>
      </c>
      <c r="AJ20" s="111" t="str">
        <f>IF(AA20&lt;&gt;"",'Γενικά Δεδομένα'!$I$4,"")</f>
        <v/>
      </c>
      <c r="AK20" s="109" t="str">
        <f t="shared" si="33"/>
        <v/>
      </c>
      <c r="AO20" s="124" t="str">
        <f t="shared" si="16"/>
        <v/>
      </c>
      <c r="AP20" s="113" t="str">
        <f t="shared" si="17"/>
        <v/>
      </c>
      <c r="AQ20" s="113" t="str">
        <f t="shared" si="18"/>
        <v/>
      </c>
      <c r="AR20" s="113" t="str">
        <f t="shared" si="19"/>
        <v/>
      </c>
      <c r="AS20" s="107" t="str">
        <f>IF(AO20&lt;&gt;"",'Νέα ΦΣ'!I12+'Νέα ΦΣ'!J12,"")</f>
        <v/>
      </c>
      <c r="AT20" s="106" t="str">
        <f>IF(AO20&lt;&gt;"",'Νέα ΦΣ'!N12,"")</f>
        <v/>
      </c>
      <c r="AU20" s="106" t="str">
        <f>IF(AO20&lt;&gt;"",Υπολογισμοί!J15,"")</f>
        <v/>
      </c>
      <c r="AW20" s="113" t="str">
        <f>IF(Βραχίονες!C15&lt;&gt;"",Βραχίονες!F15+Βραχίονες!G15,"")</f>
        <v/>
      </c>
      <c r="AX20" s="106" t="str">
        <f>IF(Βραχίονες!C15&lt;&gt;"",Υπολογισμοί!K15,"")</f>
        <v/>
      </c>
      <c r="AY20" s="106" t="str">
        <f>IF(Βραχίονες!C15&lt;&gt;"",Υπολογισμοί!L15,"")</f>
        <v/>
      </c>
      <c r="AZ20" s="106" t="str">
        <f>IF(Βραχίονες!C15&lt;&gt;"",Υπολογισμοί!K15+Υπολογισμοί!L15,"")</f>
        <v/>
      </c>
    </row>
    <row r="21" spans="1:52" x14ac:dyDescent="0.15">
      <c r="A21" s="105"/>
      <c r="B21" s="103"/>
      <c r="C21" s="106"/>
      <c r="D21" s="107"/>
      <c r="E21" s="103"/>
      <c r="G21" s="105"/>
      <c r="H21" s="102"/>
      <c r="I21" s="106"/>
      <c r="J21" s="107"/>
      <c r="K21" s="107"/>
      <c r="L21" s="106"/>
      <c r="M21" s="109"/>
      <c r="N21" s="110"/>
      <c r="O21" s="109"/>
      <c r="Q21" s="120" t="str">
        <f t="shared" si="20"/>
        <v/>
      </c>
      <c r="R21" s="121" t="str">
        <f t="shared" si="21"/>
        <v/>
      </c>
      <c r="S21" s="122" t="str">
        <f t="shared" si="22"/>
        <v/>
      </c>
      <c r="T21" s="123"/>
      <c r="U21" s="124" t="str">
        <f>IF(Q21&lt;&gt;"",'Νέα ΦΣ'!D13,"")</f>
        <v/>
      </c>
      <c r="V21" s="113" t="str">
        <f>IF(Q21&lt;&gt;"",'Νέα ΦΣ'!M13,"")</f>
        <v/>
      </c>
      <c r="W21" s="113" t="str">
        <f t="shared" si="23"/>
        <v/>
      </c>
      <c r="X21" s="113" t="str">
        <f>IF(Q21&lt;&gt;"",'Νέα ΦΣ'!O13,"")</f>
        <v/>
      </c>
      <c r="Y21" s="107" t="str">
        <f t="shared" si="24"/>
        <v/>
      </c>
      <c r="AA21" s="105" t="str">
        <f t="shared" si="25"/>
        <v/>
      </c>
      <c r="AB21" s="102" t="str">
        <f t="shared" si="26"/>
        <v/>
      </c>
      <c r="AC21" s="102" t="str">
        <f t="shared" si="27"/>
        <v/>
      </c>
      <c r="AD21" s="102" t="str">
        <f t="shared" si="28"/>
        <v/>
      </c>
      <c r="AE21" s="102" t="str">
        <f t="shared" si="29"/>
        <v/>
      </c>
      <c r="AF21" s="107" t="str">
        <f t="shared" si="30"/>
        <v/>
      </c>
      <c r="AG21" s="102" t="str">
        <f t="shared" si="31"/>
        <v/>
      </c>
      <c r="AH21" s="109">
        <f t="shared" si="32"/>
        <v>0</v>
      </c>
      <c r="AI21" s="109" t="str">
        <f>IF(AA21&lt;&gt;"",Υπολογισμοί!H16,"")</f>
        <v/>
      </c>
      <c r="AJ21" s="111" t="str">
        <f>IF(AA21&lt;&gt;"",'Γενικά Δεδομένα'!$I$4,"")</f>
        <v/>
      </c>
      <c r="AK21" s="109" t="str">
        <f t="shared" si="33"/>
        <v/>
      </c>
      <c r="AO21" s="124" t="str">
        <f t="shared" si="16"/>
        <v/>
      </c>
      <c r="AP21" s="113" t="str">
        <f t="shared" si="17"/>
        <v/>
      </c>
      <c r="AQ21" s="113" t="str">
        <f t="shared" si="18"/>
        <v/>
      </c>
      <c r="AR21" s="113" t="str">
        <f t="shared" si="19"/>
        <v/>
      </c>
      <c r="AS21" s="107" t="str">
        <f>IF(AO21&lt;&gt;"",'Νέα ΦΣ'!I13+'Νέα ΦΣ'!J13,"")</f>
        <v/>
      </c>
      <c r="AT21" s="106" t="str">
        <f>IF(AO21&lt;&gt;"",'Νέα ΦΣ'!N13,"")</f>
        <v/>
      </c>
      <c r="AU21" s="106" t="str">
        <f>IF(AO21&lt;&gt;"",Υπολογισμοί!J16,"")</f>
        <v/>
      </c>
      <c r="AW21" s="113" t="str">
        <f>IF(Βραχίονες!C16&lt;&gt;"",Βραχίονες!F16+Βραχίονες!G16,"")</f>
        <v/>
      </c>
      <c r="AX21" s="106" t="str">
        <f>IF(Βραχίονες!C16&lt;&gt;"",Υπολογισμοί!K16,"")</f>
        <v/>
      </c>
      <c r="AY21" s="106" t="str">
        <f>IF(Βραχίονες!C16&lt;&gt;"",Υπολογισμοί!L16,"")</f>
        <v/>
      </c>
      <c r="AZ21" s="106" t="str">
        <f>IF(Βραχίονες!C16&lt;&gt;"",Υπολογισμοί!K16+Υπολογισμοί!L16,"")</f>
        <v/>
      </c>
    </row>
    <row r="22" spans="1:52" x14ac:dyDescent="0.15">
      <c r="A22" s="105" t="str">
        <f>IF('Συμβατικά ΦΣ'!B13&lt;&gt;"",'Συμβατικά ΦΣ'!C13,"")</f>
        <v/>
      </c>
      <c r="B22" s="103" t="str">
        <f>IF('Συμβατικά ΦΣ'!B13&lt;&gt;"",'Συμβατικά ΦΣ'!I13,"")</f>
        <v/>
      </c>
      <c r="C22" s="106" t="str">
        <f>IF('Συμβατικά ΦΣ'!B13&lt;&gt;"",'Συμβατικά ΦΣ'!J13,"")</f>
        <v/>
      </c>
      <c r="D22" s="107" t="str">
        <f>IF('Συμβατικά ΦΣ'!B13&lt;&gt;"",'Συμβατικά ΦΣ'!L13,"")</f>
        <v/>
      </c>
      <c r="E22" s="103" t="str">
        <f>IF('Συμβατικά ΦΣ'!B13&lt;&gt;"",'Συμβατικά ΦΣ'!K13,"")</f>
        <v/>
      </c>
      <c r="G22" s="105" t="str">
        <f t="shared" si="2"/>
        <v/>
      </c>
      <c r="H22" s="102" t="str">
        <f t="shared" si="3"/>
        <v/>
      </c>
      <c r="I22" s="106" t="str">
        <f t="shared" si="4"/>
        <v/>
      </c>
      <c r="J22" s="107" t="str">
        <f t="shared" si="5"/>
        <v/>
      </c>
      <c r="K22" s="107" t="str">
        <f t="shared" si="6"/>
        <v/>
      </c>
      <c r="L22" s="106" t="str">
        <f>IF(G22&lt;&gt;"",'Γενικά Δεδομένα'!$I$6*365,"")</f>
        <v/>
      </c>
      <c r="M22" s="109" t="str">
        <f>IF(G22&lt;&gt;"",Υπολογισμοί!G17,"")</f>
        <v/>
      </c>
      <c r="N22" s="110" t="str">
        <f>IF(G22&lt;&gt;"",'Γενικά Δεδομένα'!$I$4,"")</f>
        <v/>
      </c>
      <c r="O22" s="109" t="str">
        <f>IF(G22&lt;&gt;"",M22*'Γενικά Δεδομένα'!$I$4,"")</f>
        <v/>
      </c>
      <c r="Q22" s="120" t="str">
        <f t="shared" si="20"/>
        <v/>
      </c>
      <c r="R22" s="121" t="str">
        <f t="shared" si="21"/>
        <v/>
      </c>
      <c r="S22" s="122" t="str">
        <f t="shared" si="22"/>
        <v/>
      </c>
      <c r="T22" s="123"/>
      <c r="U22" s="124" t="str">
        <f>IF(Q22&lt;&gt;"",'Νέα ΦΣ'!D14,"")</f>
        <v/>
      </c>
      <c r="V22" s="113" t="str">
        <f>IF(Q22&lt;&gt;"",'Νέα ΦΣ'!M14,"")</f>
        <v/>
      </c>
      <c r="W22" s="113" t="str">
        <f t="shared" si="23"/>
        <v/>
      </c>
      <c r="X22" s="113" t="str">
        <f>IF(Q22&lt;&gt;"",'Νέα ΦΣ'!O14,"")</f>
        <v/>
      </c>
      <c r="Y22" s="107" t="str">
        <f t="shared" si="24"/>
        <v/>
      </c>
      <c r="AA22" s="105" t="str">
        <f t="shared" si="25"/>
        <v/>
      </c>
      <c r="AB22" s="102" t="str">
        <f t="shared" si="26"/>
        <v/>
      </c>
      <c r="AC22" s="102" t="str">
        <f t="shared" si="27"/>
        <v/>
      </c>
      <c r="AD22" s="102" t="str">
        <f t="shared" si="28"/>
        <v/>
      </c>
      <c r="AE22" s="102" t="str">
        <f t="shared" si="29"/>
        <v/>
      </c>
      <c r="AF22" s="107" t="str">
        <f t="shared" si="30"/>
        <v/>
      </c>
      <c r="AG22" s="102" t="str">
        <f t="shared" si="31"/>
        <v/>
      </c>
      <c r="AH22" s="109" t="str">
        <f t="shared" si="32"/>
        <v/>
      </c>
      <c r="AI22" s="109" t="str">
        <f>IF(AA22&lt;&gt;"",Υπολογισμοί!H17,"")</f>
        <v/>
      </c>
      <c r="AJ22" s="111" t="str">
        <f>IF(AA22&lt;&gt;"",'Γενικά Δεδομένα'!$I$4,"")</f>
        <v/>
      </c>
      <c r="AK22" s="109" t="str">
        <f t="shared" si="33"/>
        <v/>
      </c>
      <c r="AO22" s="124" t="str">
        <f t="shared" si="16"/>
        <v/>
      </c>
      <c r="AP22" s="113" t="str">
        <f t="shared" si="17"/>
        <v/>
      </c>
      <c r="AQ22" s="113" t="str">
        <f t="shared" si="18"/>
        <v/>
      </c>
      <c r="AR22" s="113" t="str">
        <f t="shared" si="19"/>
        <v/>
      </c>
      <c r="AS22" s="107" t="str">
        <f>IF(AO22&lt;&gt;"",'Νέα ΦΣ'!I14+'Νέα ΦΣ'!J14,"")</f>
        <v/>
      </c>
      <c r="AT22" s="106" t="str">
        <f>IF(AO22&lt;&gt;"",'Νέα ΦΣ'!N14,"")</f>
        <v/>
      </c>
      <c r="AU22" s="106" t="str">
        <f>IF(AO22&lt;&gt;"",Υπολογισμοί!J17,"")</f>
        <v/>
      </c>
      <c r="AW22" s="113" t="str">
        <f>IF(Βραχίονες!C17&lt;&gt;"",Βραχίονες!F17+Βραχίονες!G17,"")</f>
        <v/>
      </c>
      <c r="AX22" s="106" t="str">
        <f>IF(Βραχίονες!C17&lt;&gt;"",Υπολογισμοί!K17,"")</f>
        <v/>
      </c>
      <c r="AY22" s="106" t="str">
        <f>IF(Βραχίονες!C17&lt;&gt;"",Υπολογισμοί!L17,"")</f>
        <v/>
      </c>
      <c r="AZ22" s="106" t="str">
        <f>IF(Βραχίονες!C17&lt;&gt;"",Υπολογισμοί!K17+Υπολογισμοί!L17,"")</f>
        <v/>
      </c>
    </row>
    <row r="23" spans="1:52" x14ac:dyDescent="0.15">
      <c r="A23" s="105" t="str">
        <f>IF('Συμβατικά ΦΣ'!B14&lt;&gt;"",'Συμβατικά ΦΣ'!C14,"")</f>
        <v/>
      </c>
      <c r="B23" s="103" t="str">
        <f>IF('Συμβατικά ΦΣ'!B14&lt;&gt;"",'Συμβατικά ΦΣ'!I14,"")</f>
        <v/>
      </c>
      <c r="C23" s="106" t="str">
        <f>IF('Συμβατικά ΦΣ'!B14&lt;&gt;"",'Συμβατικά ΦΣ'!J14,"")</f>
        <v/>
      </c>
      <c r="D23" s="107" t="str">
        <f>IF('Συμβατικά ΦΣ'!B14&lt;&gt;"",'Συμβατικά ΦΣ'!L14,"")</f>
        <v/>
      </c>
      <c r="E23" s="103" t="str">
        <f>IF('Συμβατικά ΦΣ'!B14&lt;&gt;"",'Συμβατικά ΦΣ'!K14,"")</f>
        <v/>
      </c>
      <c r="G23" s="105" t="str">
        <f t="shared" si="2"/>
        <v/>
      </c>
      <c r="H23" s="102" t="str">
        <f t="shared" si="3"/>
        <v/>
      </c>
      <c r="I23" s="106" t="str">
        <f t="shared" si="4"/>
        <v/>
      </c>
      <c r="J23" s="107" t="str">
        <f t="shared" si="5"/>
        <v/>
      </c>
      <c r="K23" s="107" t="str">
        <f t="shared" si="6"/>
        <v/>
      </c>
      <c r="L23" s="106" t="str">
        <f>IF(G23&lt;&gt;"",'Γενικά Δεδομένα'!$I$6*365,"")</f>
        <v/>
      </c>
      <c r="M23" s="109" t="str">
        <f>IF(G23&lt;&gt;"",Υπολογισμοί!G18,"")</f>
        <v/>
      </c>
      <c r="N23" s="110" t="str">
        <f>IF(G23&lt;&gt;"",'Γενικά Δεδομένα'!$I$4,"")</f>
        <v/>
      </c>
      <c r="O23" s="109" t="str">
        <f>IF(G23&lt;&gt;"",M23*'Γενικά Δεδομένα'!$I$4,"")</f>
        <v/>
      </c>
      <c r="Q23" s="120" t="str">
        <f t="shared" si="20"/>
        <v/>
      </c>
      <c r="R23" s="121" t="str">
        <f t="shared" si="21"/>
        <v/>
      </c>
      <c r="S23" s="122" t="str">
        <f t="shared" si="22"/>
        <v/>
      </c>
      <c r="T23" s="123"/>
      <c r="U23" s="124" t="str">
        <f>IF(Q23&lt;&gt;"",'Νέα ΦΣ'!D15,"")</f>
        <v/>
      </c>
      <c r="V23" s="113" t="str">
        <f>IF(Q23&lt;&gt;"",'Νέα ΦΣ'!M15,"")</f>
        <v/>
      </c>
      <c r="W23" s="113" t="str">
        <f t="shared" si="23"/>
        <v/>
      </c>
      <c r="X23" s="113" t="str">
        <f>IF(Q23&lt;&gt;"",'Νέα ΦΣ'!O15,"")</f>
        <v/>
      </c>
      <c r="Y23" s="107" t="str">
        <f t="shared" si="24"/>
        <v/>
      </c>
      <c r="AA23" s="105" t="str">
        <f t="shared" si="25"/>
        <v/>
      </c>
      <c r="AB23" s="102" t="str">
        <f t="shared" si="26"/>
        <v/>
      </c>
      <c r="AC23" s="102" t="str">
        <f t="shared" si="27"/>
        <v/>
      </c>
      <c r="AD23" s="102" t="str">
        <f t="shared" si="28"/>
        <v/>
      </c>
      <c r="AE23" s="102" t="str">
        <f t="shared" si="29"/>
        <v/>
      </c>
      <c r="AF23" s="107" t="str">
        <f t="shared" si="30"/>
        <v/>
      </c>
      <c r="AG23" s="102" t="str">
        <f t="shared" si="31"/>
        <v/>
      </c>
      <c r="AH23" s="109" t="str">
        <f t="shared" si="32"/>
        <v/>
      </c>
      <c r="AI23" s="109" t="str">
        <f>IF(AA23&lt;&gt;"",Υπολογισμοί!H18,"")</f>
        <v/>
      </c>
      <c r="AJ23" s="111" t="str">
        <f>IF(AA23&lt;&gt;"",'Γενικά Δεδομένα'!$I$4,"")</f>
        <v/>
      </c>
      <c r="AK23" s="109" t="str">
        <f t="shared" si="33"/>
        <v/>
      </c>
      <c r="AO23" s="124" t="str">
        <f t="shared" si="16"/>
        <v/>
      </c>
      <c r="AP23" s="113" t="str">
        <f t="shared" si="17"/>
        <v/>
      </c>
      <c r="AQ23" s="113" t="str">
        <f t="shared" si="18"/>
        <v/>
      </c>
      <c r="AR23" s="113" t="str">
        <f t="shared" si="19"/>
        <v/>
      </c>
      <c r="AS23" s="107" t="str">
        <f>IF(AO23&lt;&gt;"",'Νέα ΦΣ'!I15+'Νέα ΦΣ'!J15,"")</f>
        <v/>
      </c>
      <c r="AT23" s="106" t="str">
        <f>IF(AO23&lt;&gt;"",'Νέα ΦΣ'!N15,"")</f>
        <v/>
      </c>
      <c r="AU23" s="106" t="str">
        <f>IF(AO23&lt;&gt;"",Υπολογισμοί!J18,"")</f>
        <v/>
      </c>
      <c r="AW23" s="113" t="str">
        <f>IF(Βραχίονες!C18&lt;&gt;"",Βραχίονες!F18+Βραχίονες!G18,"")</f>
        <v/>
      </c>
      <c r="AX23" s="106" t="str">
        <f>IF(Βραχίονες!C18&lt;&gt;"",Υπολογισμοί!K18,"")</f>
        <v/>
      </c>
      <c r="AY23" s="106" t="str">
        <f>IF(Βραχίονες!C18&lt;&gt;"",Υπολογισμοί!L18,"")</f>
        <v/>
      </c>
      <c r="AZ23" s="106" t="str">
        <f>IF(Βραχίονες!C18&lt;&gt;"",Υπολογισμοί!K18+Υπολογισμοί!L18,"")</f>
        <v/>
      </c>
    </row>
    <row r="24" spans="1:52" x14ac:dyDescent="0.15">
      <c r="A24" s="105" t="str">
        <f>IF('Συμβατικά ΦΣ'!B15&lt;&gt;"",'Συμβατικά ΦΣ'!C15,"")</f>
        <v/>
      </c>
      <c r="B24" s="103" t="str">
        <f>IF('Συμβατικά ΦΣ'!B15&lt;&gt;"",'Συμβατικά ΦΣ'!I15,"")</f>
        <v/>
      </c>
      <c r="C24" s="106" t="str">
        <f>IF('Συμβατικά ΦΣ'!B15&lt;&gt;"",'Συμβατικά ΦΣ'!J15,"")</f>
        <v/>
      </c>
      <c r="D24" s="107" t="str">
        <f>IF('Συμβατικά ΦΣ'!B15&lt;&gt;"",'Συμβατικά ΦΣ'!L15,"")</f>
        <v/>
      </c>
      <c r="E24" s="103" t="str">
        <f>IF('Συμβατικά ΦΣ'!B15&lt;&gt;"",'Συμβατικά ΦΣ'!K15,"")</f>
        <v/>
      </c>
      <c r="G24" s="105" t="str">
        <f t="shared" si="2"/>
        <v/>
      </c>
      <c r="H24" s="102" t="str">
        <f t="shared" si="3"/>
        <v/>
      </c>
      <c r="I24" s="106" t="str">
        <f t="shared" si="4"/>
        <v/>
      </c>
      <c r="J24" s="107" t="str">
        <f t="shared" si="5"/>
        <v/>
      </c>
      <c r="K24" s="107" t="str">
        <f t="shared" si="6"/>
        <v/>
      </c>
      <c r="L24" s="106" t="str">
        <f>IF(G24&lt;&gt;"",'Γενικά Δεδομένα'!$I$6*365,"")</f>
        <v/>
      </c>
      <c r="M24" s="109" t="str">
        <f>IF(G24&lt;&gt;"",Υπολογισμοί!G19,"")</f>
        <v/>
      </c>
      <c r="N24" s="110" t="str">
        <f>IF(G24&lt;&gt;"",'Γενικά Δεδομένα'!$I$4,"")</f>
        <v/>
      </c>
      <c r="O24" s="109" t="str">
        <f>IF(G24&lt;&gt;"",M24*'Γενικά Δεδομένα'!$I$4,"")</f>
        <v/>
      </c>
      <c r="Q24" s="120" t="str">
        <f t="shared" si="20"/>
        <v/>
      </c>
      <c r="R24" s="121" t="str">
        <f t="shared" si="21"/>
        <v/>
      </c>
      <c r="S24" s="122" t="str">
        <f t="shared" si="22"/>
        <v/>
      </c>
      <c r="T24" s="123"/>
      <c r="U24" s="124" t="str">
        <f>IF(Q24&lt;&gt;"",'Νέα ΦΣ'!D16,"")</f>
        <v/>
      </c>
      <c r="V24" s="113" t="str">
        <f>IF(Q24&lt;&gt;"",'Νέα ΦΣ'!M16,"")</f>
        <v/>
      </c>
      <c r="W24" s="113" t="str">
        <f t="shared" si="23"/>
        <v/>
      </c>
      <c r="X24" s="113" t="str">
        <f>IF(Q24&lt;&gt;"",'Νέα ΦΣ'!O16,"")</f>
        <v/>
      </c>
      <c r="Y24" s="107" t="str">
        <f t="shared" si="24"/>
        <v/>
      </c>
      <c r="AA24" s="105" t="str">
        <f t="shared" si="25"/>
        <v/>
      </c>
      <c r="AB24" s="102" t="str">
        <f t="shared" si="26"/>
        <v/>
      </c>
      <c r="AC24" s="102" t="str">
        <f t="shared" si="27"/>
        <v/>
      </c>
      <c r="AD24" s="102" t="str">
        <f t="shared" si="28"/>
        <v/>
      </c>
      <c r="AE24" s="102" t="str">
        <f t="shared" si="29"/>
        <v/>
      </c>
      <c r="AF24" s="107" t="str">
        <f t="shared" si="30"/>
        <v/>
      </c>
      <c r="AG24" s="102" t="str">
        <f t="shared" si="31"/>
        <v/>
      </c>
      <c r="AH24" s="109" t="str">
        <f t="shared" si="32"/>
        <v/>
      </c>
      <c r="AI24" s="109" t="str">
        <f>IF(AA24&lt;&gt;"",Υπολογισμοί!H19,"")</f>
        <v/>
      </c>
      <c r="AJ24" s="111" t="str">
        <f>IF(AA24&lt;&gt;"",'Γενικά Δεδομένα'!$I$4,"")</f>
        <v/>
      </c>
      <c r="AK24" s="109" t="str">
        <f t="shared" si="33"/>
        <v/>
      </c>
      <c r="AO24" s="124" t="str">
        <f t="shared" si="16"/>
        <v/>
      </c>
      <c r="AP24" s="113" t="str">
        <f t="shared" si="17"/>
        <v/>
      </c>
      <c r="AQ24" s="113" t="str">
        <f t="shared" si="18"/>
        <v/>
      </c>
      <c r="AR24" s="113" t="str">
        <f t="shared" si="19"/>
        <v/>
      </c>
      <c r="AS24" s="107" t="str">
        <f>IF(AO24&lt;&gt;"",'Νέα ΦΣ'!I16+'Νέα ΦΣ'!J16,"")</f>
        <v/>
      </c>
      <c r="AT24" s="106" t="str">
        <f>IF(AO24&lt;&gt;"",'Νέα ΦΣ'!N16,"")</f>
        <v/>
      </c>
      <c r="AU24" s="106" t="str">
        <f>IF(AO24&lt;&gt;"",Υπολογισμοί!J19,"")</f>
        <v/>
      </c>
      <c r="AW24" s="113" t="str">
        <f>IF(Βραχίονες!C19&lt;&gt;"",Βραχίονες!F19+Βραχίονες!G19,"")</f>
        <v/>
      </c>
      <c r="AX24" s="106" t="str">
        <f>IF(Βραχίονες!C19&lt;&gt;"",Υπολογισμοί!K19,"")</f>
        <v/>
      </c>
      <c r="AY24" s="106" t="str">
        <f>IF(Βραχίονες!C19&lt;&gt;"",Υπολογισμοί!L19,"")</f>
        <v/>
      </c>
      <c r="AZ24" s="106" t="str">
        <f>IF(Βραχίονες!C19&lt;&gt;"",Υπολογισμοί!K19+Υπολογισμοί!L19,"")</f>
        <v/>
      </c>
    </row>
    <row r="25" spans="1:52" x14ac:dyDescent="0.15">
      <c r="A25" s="105" t="str">
        <f>IF('Συμβατικά ΦΣ'!B16&lt;&gt;"",'Συμβατικά ΦΣ'!C16,"")</f>
        <v/>
      </c>
      <c r="B25" s="103" t="str">
        <f>IF('Συμβατικά ΦΣ'!B16&lt;&gt;"",'Συμβατικά ΦΣ'!I16,"")</f>
        <v/>
      </c>
      <c r="C25" s="106" t="str">
        <f>IF('Συμβατικά ΦΣ'!B16&lt;&gt;"",'Συμβατικά ΦΣ'!J16,"")</f>
        <v/>
      </c>
      <c r="D25" s="107" t="str">
        <f>IF('Συμβατικά ΦΣ'!B16&lt;&gt;"",'Συμβατικά ΦΣ'!L16,"")</f>
        <v/>
      </c>
      <c r="E25" s="103" t="str">
        <f>IF('Συμβατικά ΦΣ'!B16&lt;&gt;"",'Συμβατικά ΦΣ'!K16,"")</f>
        <v/>
      </c>
      <c r="G25" s="105" t="str">
        <f t="shared" si="2"/>
        <v/>
      </c>
      <c r="H25" s="102" t="str">
        <f t="shared" si="3"/>
        <v/>
      </c>
      <c r="I25" s="106" t="str">
        <f t="shared" si="4"/>
        <v/>
      </c>
      <c r="J25" s="107" t="str">
        <f t="shared" si="5"/>
        <v/>
      </c>
      <c r="K25" s="107" t="str">
        <f t="shared" si="6"/>
        <v/>
      </c>
      <c r="L25" s="106" t="str">
        <f>IF(G25&lt;&gt;"",'Γενικά Δεδομένα'!$I$6*365,"")</f>
        <v/>
      </c>
      <c r="M25" s="109" t="str">
        <f>IF(G25&lt;&gt;"",Υπολογισμοί!G20,"")</f>
        <v/>
      </c>
      <c r="N25" s="110" t="str">
        <f>IF(G25&lt;&gt;"",'Γενικά Δεδομένα'!$I$4,"")</f>
        <v/>
      </c>
      <c r="O25" s="109" t="str">
        <f>IF(G25&lt;&gt;"",M25*'Γενικά Δεδομένα'!$I$4,"")</f>
        <v/>
      </c>
      <c r="Q25" s="120" t="str">
        <f t="shared" si="20"/>
        <v/>
      </c>
      <c r="R25" s="121" t="str">
        <f t="shared" si="21"/>
        <v/>
      </c>
      <c r="S25" s="122" t="str">
        <f t="shared" si="22"/>
        <v/>
      </c>
      <c r="T25" s="123"/>
      <c r="U25" s="124" t="str">
        <f>IF(Q25&lt;&gt;"",'Νέα ΦΣ'!D17,"")</f>
        <v/>
      </c>
      <c r="V25" s="113" t="str">
        <f>IF(Q25&lt;&gt;"",'Νέα ΦΣ'!M17,"")</f>
        <v/>
      </c>
      <c r="W25" s="113" t="str">
        <f t="shared" si="23"/>
        <v/>
      </c>
      <c r="X25" s="113" t="str">
        <f>IF(Q25&lt;&gt;"",'Νέα ΦΣ'!O17,"")</f>
        <v/>
      </c>
      <c r="Y25" s="107" t="str">
        <f t="shared" si="24"/>
        <v/>
      </c>
      <c r="AA25" s="105" t="str">
        <f t="shared" si="25"/>
        <v/>
      </c>
      <c r="AB25" s="102" t="str">
        <f t="shared" si="26"/>
        <v/>
      </c>
      <c r="AC25" s="102" t="str">
        <f t="shared" si="27"/>
        <v/>
      </c>
      <c r="AD25" s="102" t="str">
        <f t="shared" si="28"/>
        <v/>
      </c>
      <c r="AE25" s="102" t="str">
        <f t="shared" si="29"/>
        <v/>
      </c>
      <c r="AF25" s="107" t="str">
        <f t="shared" si="30"/>
        <v/>
      </c>
      <c r="AG25" s="102" t="str">
        <f t="shared" si="31"/>
        <v/>
      </c>
      <c r="AH25" s="109" t="str">
        <f t="shared" si="32"/>
        <v/>
      </c>
      <c r="AI25" s="109" t="str">
        <f>IF(AA25&lt;&gt;"",Υπολογισμοί!H20,"")</f>
        <v/>
      </c>
      <c r="AJ25" s="111" t="str">
        <f>IF(AA25&lt;&gt;"",'Γενικά Δεδομένα'!$I$4,"")</f>
        <v/>
      </c>
      <c r="AK25" s="109" t="str">
        <f t="shared" si="33"/>
        <v/>
      </c>
      <c r="AO25" s="124" t="str">
        <f t="shared" si="16"/>
        <v/>
      </c>
      <c r="AP25" s="113" t="str">
        <f t="shared" si="17"/>
        <v/>
      </c>
      <c r="AQ25" s="113" t="str">
        <f t="shared" si="18"/>
        <v/>
      </c>
      <c r="AR25" s="113" t="str">
        <f t="shared" si="19"/>
        <v/>
      </c>
      <c r="AS25" s="107" t="str">
        <f>IF(AO25&lt;&gt;"",'Νέα ΦΣ'!I17+'Νέα ΦΣ'!J17,"")</f>
        <v/>
      </c>
      <c r="AT25" s="106" t="str">
        <f>IF(AO25&lt;&gt;"",'Νέα ΦΣ'!N17,"")</f>
        <v/>
      </c>
      <c r="AU25" s="106" t="str">
        <f>IF(AO25&lt;&gt;"",Υπολογισμοί!J20,"")</f>
        <v/>
      </c>
      <c r="AW25" s="113" t="str">
        <f>IF(Βραχίονες!C20&lt;&gt;"",Βραχίονες!F20+Βραχίονες!G20,"")</f>
        <v/>
      </c>
      <c r="AX25" s="106" t="str">
        <f>IF(Βραχίονες!C20&lt;&gt;"",Υπολογισμοί!K20,"")</f>
        <v/>
      </c>
      <c r="AY25" s="106" t="str">
        <f>IF(Βραχίονες!C20&lt;&gt;"",Υπολογισμοί!L20,"")</f>
        <v/>
      </c>
      <c r="AZ25" s="106" t="str">
        <f>IF(Βραχίονες!C20&lt;&gt;"",Υπολογισμοί!K20+Υπολογισμοί!L20,"")</f>
        <v/>
      </c>
    </row>
    <row r="26" spans="1:52" x14ac:dyDescent="0.15">
      <c r="A26" s="105" t="str">
        <f>IF('Συμβατικά ΦΣ'!B17&lt;&gt;"",'Συμβατικά ΦΣ'!C17,"")</f>
        <v/>
      </c>
      <c r="B26" s="103" t="str">
        <f>IF('Συμβατικά ΦΣ'!B17&lt;&gt;"",'Συμβατικά ΦΣ'!I17,"")</f>
        <v/>
      </c>
      <c r="C26" s="106" t="str">
        <f>IF('Συμβατικά ΦΣ'!B17&lt;&gt;"",'Συμβατικά ΦΣ'!J17,"")</f>
        <v/>
      </c>
      <c r="D26" s="107" t="str">
        <f>IF('Συμβατικά ΦΣ'!B17&lt;&gt;"",'Συμβατικά ΦΣ'!L17,"")</f>
        <v/>
      </c>
      <c r="E26" s="103" t="str">
        <f>IF('Συμβατικά ΦΣ'!B17&lt;&gt;"",'Συμβατικά ΦΣ'!K17,"")</f>
        <v/>
      </c>
      <c r="G26" s="105" t="str">
        <f t="shared" si="2"/>
        <v/>
      </c>
      <c r="H26" s="102" t="str">
        <f t="shared" si="3"/>
        <v/>
      </c>
      <c r="I26" s="106" t="str">
        <f t="shared" si="4"/>
        <v/>
      </c>
      <c r="J26" s="107" t="str">
        <f t="shared" si="5"/>
        <v/>
      </c>
      <c r="K26" s="107" t="str">
        <f t="shared" si="6"/>
        <v/>
      </c>
      <c r="L26" s="106" t="str">
        <f>IF(G26&lt;&gt;"",'Γενικά Δεδομένα'!$I$6*365,"")</f>
        <v/>
      </c>
      <c r="M26" s="109" t="str">
        <f>IF(G26&lt;&gt;"",Υπολογισμοί!G21,"")</f>
        <v/>
      </c>
      <c r="N26" s="110" t="str">
        <f>IF(G26&lt;&gt;"",'Γενικά Δεδομένα'!$I$4,"")</f>
        <v/>
      </c>
      <c r="O26" s="109" t="str">
        <f>IF(G26&lt;&gt;"",M26*'Γενικά Δεδομένα'!$I$4,"")</f>
        <v/>
      </c>
      <c r="Q26" s="120" t="str">
        <f t="shared" si="20"/>
        <v/>
      </c>
      <c r="R26" s="121" t="str">
        <f t="shared" si="21"/>
        <v/>
      </c>
      <c r="S26" s="122" t="str">
        <f t="shared" si="22"/>
        <v/>
      </c>
      <c r="T26" s="123"/>
      <c r="U26" s="124" t="str">
        <f>IF(Q26&lt;&gt;"",'Νέα ΦΣ'!D18,"")</f>
        <v/>
      </c>
      <c r="V26" s="113" t="str">
        <f>IF(Q26&lt;&gt;"",'Νέα ΦΣ'!M18,"")</f>
        <v/>
      </c>
      <c r="W26" s="113" t="str">
        <f t="shared" si="23"/>
        <v/>
      </c>
      <c r="X26" s="113" t="str">
        <f>IF(Q26&lt;&gt;"",'Νέα ΦΣ'!O18,"")</f>
        <v/>
      </c>
      <c r="Y26" s="107" t="str">
        <f t="shared" si="24"/>
        <v/>
      </c>
      <c r="AA26" s="105" t="str">
        <f t="shared" si="25"/>
        <v/>
      </c>
      <c r="AB26" s="102" t="str">
        <f t="shared" si="26"/>
        <v/>
      </c>
      <c r="AC26" s="102" t="str">
        <f t="shared" si="27"/>
        <v/>
      </c>
      <c r="AD26" s="102" t="str">
        <f t="shared" si="28"/>
        <v/>
      </c>
      <c r="AE26" s="102" t="str">
        <f t="shared" si="29"/>
        <v/>
      </c>
      <c r="AF26" s="107" t="str">
        <f t="shared" si="30"/>
        <v/>
      </c>
      <c r="AG26" s="102" t="str">
        <f t="shared" si="31"/>
        <v/>
      </c>
      <c r="AH26" s="109" t="str">
        <f t="shared" si="32"/>
        <v/>
      </c>
      <c r="AI26" s="109" t="str">
        <f>IF(AA26&lt;&gt;"",Υπολογισμοί!H21,"")</f>
        <v/>
      </c>
      <c r="AJ26" s="111" t="str">
        <f>IF(AA26&lt;&gt;"",'Γενικά Δεδομένα'!$I$4,"")</f>
        <v/>
      </c>
      <c r="AK26" s="109" t="str">
        <f t="shared" si="33"/>
        <v/>
      </c>
      <c r="AO26" s="124" t="str">
        <f t="shared" si="16"/>
        <v/>
      </c>
      <c r="AP26" s="113" t="str">
        <f t="shared" si="17"/>
        <v/>
      </c>
      <c r="AQ26" s="113" t="str">
        <f t="shared" si="18"/>
        <v/>
      </c>
      <c r="AR26" s="113" t="str">
        <f t="shared" si="19"/>
        <v/>
      </c>
      <c r="AS26" s="107" t="str">
        <f>IF(AO26&lt;&gt;"",'Νέα ΦΣ'!I18+'Νέα ΦΣ'!J18,"")</f>
        <v/>
      </c>
      <c r="AT26" s="106" t="str">
        <f>IF(AO26&lt;&gt;"",'Νέα ΦΣ'!N18,"")</f>
        <v/>
      </c>
      <c r="AU26" s="106" t="str">
        <f>IF(AO26&lt;&gt;"",Υπολογισμοί!J21,"")</f>
        <v/>
      </c>
      <c r="AW26" s="113" t="str">
        <f>IF(Βραχίονες!C21&lt;&gt;"",Βραχίονες!F21+Βραχίονες!G21,"")</f>
        <v/>
      </c>
      <c r="AX26" s="106" t="str">
        <f>IF(Βραχίονες!C21&lt;&gt;"",Υπολογισμοί!K21,"")</f>
        <v/>
      </c>
      <c r="AY26" s="106" t="str">
        <f>IF(Βραχίονες!C21&lt;&gt;"",Υπολογισμοί!L21,"")</f>
        <v/>
      </c>
      <c r="AZ26" s="106" t="str">
        <f>IF(Βραχίονες!C21&lt;&gt;"",Υπολογισμοί!K21+Υπολογισμοί!L21,"")</f>
        <v/>
      </c>
    </row>
    <row r="27" spans="1:52" x14ac:dyDescent="0.15">
      <c r="A27" s="105" t="str">
        <f>IF('Συμβατικά ΦΣ'!B18&lt;&gt;"",'Συμβατικά ΦΣ'!C18,"")</f>
        <v/>
      </c>
      <c r="B27" s="103" t="str">
        <f>IF('Συμβατικά ΦΣ'!B18&lt;&gt;"",'Συμβατικά ΦΣ'!I18,"")</f>
        <v/>
      </c>
      <c r="C27" s="106" t="str">
        <f>IF('Συμβατικά ΦΣ'!B18&lt;&gt;"",'Συμβατικά ΦΣ'!J18,"")</f>
        <v/>
      </c>
      <c r="D27" s="107" t="str">
        <f>IF('Συμβατικά ΦΣ'!B18&lt;&gt;"",'Συμβατικά ΦΣ'!L18,"")</f>
        <v/>
      </c>
      <c r="E27" s="103" t="str">
        <f>IF('Συμβατικά ΦΣ'!B18&lt;&gt;"",'Συμβατικά ΦΣ'!K18,"")</f>
        <v/>
      </c>
      <c r="G27" s="105" t="str">
        <f t="shared" si="2"/>
        <v/>
      </c>
      <c r="H27" s="102" t="str">
        <f t="shared" si="3"/>
        <v/>
      </c>
      <c r="I27" s="106" t="str">
        <f t="shared" si="4"/>
        <v/>
      </c>
      <c r="J27" s="107" t="str">
        <f t="shared" si="5"/>
        <v/>
      </c>
      <c r="K27" s="107" t="str">
        <f t="shared" si="6"/>
        <v/>
      </c>
      <c r="L27" s="106" t="str">
        <f>IF(G27&lt;&gt;"",'Γενικά Δεδομένα'!$I$6*365,"")</f>
        <v/>
      </c>
      <c r="M27" s="109" t="str">
        <f>IF(G27&lt;&gt;"",Υπολογισμοί!G22,"")</f>
        <v/>
      </c>
      <c r="N27" s="110" t="str">
        <f>IF(G27&lt;&gt;"",'Γενικά Δεδομένα'!$I$4,"")</f>
        <v/>
      </c>
      <c r="O27" s="109" t="str">
        <f>IF(G27&lt;&gt;"",M27*'Γενικά Δεδομένα'!$I$4,"")</f>
        <v/>
      </c>
      <c r="Q27" s="120" t="str">
        <f t="shared" si="20"/>
        <v/>
      </c>
      <c r="R27" s="121" t="str">
        <f t="shared" si="21"/>
        <v/>
      </c>
      <c r="S27" s="122" t="str">
        <f t="shared" si="22"/>
        <v/>
      </c>
      <c r="T27" s="123"/>
      <c r="U27" s="124" t="str">
        <f>IF(Q27&lt;&gt;"",'Νέα ΦΣ'!D19,"")</f>
        <v/>
      </c>
      <c r="V27" s="113" t="str">
        <f>IF(Q27&lt;&gt;"",'Νέα ΦΣ'!M19,"")</f>
        <v/>
      </c>
      <c r="W27" s="113" t="str">
        <f t="shared" si="23"/>
        <v/>
      </c>
      <c r="X27" s="113" t="str">
        <f>IF(Q27&lt;&gt;"",'Νέα ΦΣ'!O19,"")</f>
        <v/>
      </c>
      <c r="Y27" s="107" t="str">
        <f t="shared" si="24"/>
        <v/>
      </c>
      <c r="AA27" s="105" t="str">
        <f t="shared" si="25"/>
        <v/>
      </c>
      <c r="AB27" s="102" t="str">
        <f t="shared" si="26"/>
        <v/>
      </c>
      <c r="AC27" s="102" t="str">
        <f t="shared" si="27"/>
        <v/>
      </c>
      <c r="AD27" s="102" t="str">
        <f t="shared" si="28"/>
        <v/>
      </c>
      <c r="AE27" s="102" t="str">
        <f t="shared" si="29"/>
        <v/>
      </c>
      <c r="AF27" s="107" t="str">
        <f t="shared" si="30"/>
        <v/>
      </c>
      <c r="AG27" s="102" t="str">
        <f t="shared" si="31"/>
        <v/>
      </c>
      <c r="AH27" s="109" t="str">
        <f t="shared" si="32"/>
        <v/>
      </c>
      <c r="AI27" s="109" t="str">
        <f>IF(AA27&lt;&gt;"",Υπολογισμοί!H22,"")</f>
        <v/>
      </c>
      <c r="AJ27" s="111" t="str">
        <f>IF(AA27&lt;&gt;"",'Γενικά Δεδομένα'!$I$4,"")</f>
        <v/>
      </c>
      <c r="AK27" s="109" t="str">
        <f t="shared" si="33"/>
        <v/>
      </c>
      <c r="AO27" s="124" t="str">
        <f t="shared" si="16"/>
        <v/>
      </c>
      <c r="AP27" s="113" t="str">
        <f t="shared" si="17"/>
        <v/>
      </c>
      <c r="AQ27" s="113" t="str">
        <f t="shared" si="18"/>
        <v/>
      </c>
      <c r="AR27" s="113" t="str">
        <f t="shared" si="19"/>
        <v/>
      </c>
      <c r="AS27" s="107" t="str">
        <f>IF(AO27&lt;&gt;"",'Νέα ΦΣ'!I19+'Νέα ΦΣ'!J19,"")</f>
        <v/>
      </c>
      <c r="AT27" s="106" t="str">
        <f>IF(AO27&lt;&gt;"",'Νέα ΦΣ'!N19,"")</f>
        <v/>
      </c>
      <c r="AU27" s="106" t="str">
        <f>IF(AO27&lt;&gt;"",Υπολογισμοί!J22,"")</f>
        <v/>
      </c>
      <c r="AW27" s="113" t="str">
        <f>IF(Βραχίονες!C22&lt;&gt;"",Βραχίονες!F22+Βραχίονες!G22,"")</f>
        <v/>
      </c>
      <c r="AX27" s="106" t="str">
        <f>IF(Βραχίονες!C22&lt;&gt;"",Υπολογισμοί!K22,"")</f>
        <v/>
      </c>
      <c r="AY27" s="106" t="str">
        <f>IF(Βραχίονες!C22&lt;&gt;"",Υπολογισμοί!L22,"")</f>
        <v/>
      </c>
      <c r="AZ27" s="106" t="str">
        <f>IF(Βραχίονες!C22&lt;&gt;"",Υπολογισμοί!K22+Υπολογισμοί!L22,"")</f>
        <v/>
      </c>
    </row>
    <row r="28" spans="1:52" x14ac:dyDescent="0.15">
      <c r="A28" s="105" t="str">
        <f>IF('Συμβατικά ΦΣ'!B19&lt;&gt;"",'Συμβατικά ΦΣ'!C19,"")</f>
        <v/>
      </c>
      <c r="B28" s="103" t="str">
        <f>IF('Συμβατικά ΦΣ'!B19&lt;&gt;"",'Συμβατικά ΦΣ'!I19,"")</f>
        <v/>
      </c>
      <c r="C28" s="106" t="str">
        <f>IF('Συμβατικά ΦΣ'!B19&lt;&gt;"",'Συμβατικά ΦΣ'!J19,"")</f>
        <v/>
      </c>
      <c r="D28" s="107" t="str">
        <f>IF('Συμβατικά ΦΣ'!B19&lt;&gt;"",'Συμβατικά ΦΣ'!L19,"")</f>
        <v/>
      </c>
      <c r="E28" s="103" t="str">
        <f>IF('Συμβατικά ΦΣ'!B19&lt;&gt;"",'Συμβατικά ΦΣ'!K19,"")</f>
        <v/>
      </c>
      <c r="G28" s="105" t="str">
        <f t="shared" si="2"/>
        <v/>
      </c>
      <c r="H28" s="102" t="str">
        <f t="shared" si="3"/>
        <v/>
      </c>
      <c r="I28" s="106" t="str">
        <f t="shared" si="4"/>
        <v/>
      </c>
      <c r="J28" s="107" t="str">
        <f t="shared" si="5"/>
        <v/>
      </c>
      <c r="K28" s="107" t="str">
        <f t="shared" si="6"/>
        <v/>
      </c>
      <c r="L28" s="106" t="str">
        <f>IF(G28&lt;&gt;"",'Γενικά Δεδομένα'!$I$6*365,"")</f>
        <v/>
      </c>
      <c r="M28" s="109" t="str">
        <f>IF(G28&lt;&gt;"",Υπολογισμοί!G23,"")</f>
        <v/>
      </c>
      <c r="N28" s="110" t="str">
        <f>IF(G28&lt;&gt;"",'Γενικά Δεδομένα'!$I$4,"")</f>
        <v/>
      </c>
      <c r="O28" s="109" t="str">
        <f>IF(G28&lt;&gt;"",M28*'Γενικά Δεδομένα'!$I$4,"")</f>
        <v/>
      </c>
      <c r="Q28" s="120" t="str">
        <f t="shared" si="20"/>
        <v/>
      </c>
      <c r="R28" s="121" t="str">
        <f t="shared" si="21"/>
        <v/>
      </c>
      <c r="S28" s="122" t="str">
        <f t="shared" si="22"/>
        <v/>
      </c>
      <c r="T28" s="123"/>
      <c r="U28" s="124" t="str">
        <f>IF(Q28&lt;&gt;"",'Νέα ΦΣ'!D20,"")</f>
        <v/>
      </c>
      <c r="V28" s="113" t="str">
        <f>IF(Q28&lt;&gt;"",'Νέα ΦΣ'!M20,"")</f>
        <v/>
      </c>
      <c r="W28" s="113" t="str">
        <f t="shared" si="23"/>
        <v/>
      </c>
      <c r="X28" s="113" t="str">
        <f>IF(Q28&lt;&gt;"",'Νέα ΦΣ'!O20,"")</f>
        <v/>
      </c>
      <c r="Y28" s="107" t="str">
        <f t="shared" si="24"/>
        <v/>
      </c>
      <c r="AA28" s="105" t="str">
        <f t="shared" si="25"/>
        <v/>
      </c>
      <c r="AB28" s="102" t="str">
        <f t="shared" si="26"/>
        <v/>
      </c>
      <c r="AC28" s="102" t="str">
        <f t="shared" si="27"/>
        <v/>
      </c>
      <c r="AD28" s="102" t="str">
        <f t="shared" si="28"/>
        <v/>
      </c>
      <c r="AE28" s="102" t="str">
        <f t="shared" si="29"/>
        <v/>
      </c>
      <c r="AF28" s="107" t="str">
        <f t="shared" si="30"/>
        <v/>
      </c>
      <c r="AG28" s="102" t="str">
        <f t="shared" si="31"/>
        <v/>
      </c>
      <c r="AH28" s="109" t="str">
        <f t="shared" si="32"/>
        <v/>
      </c>
      <c r="AI28" s="109" t="str">
        <f>IF(AA28&lt;&gt;"",Υπολογισμοί!H23,"")</f>
        <v/>
      </c>
      <c r="AJ28" s="111" t="str">
        <f>IF(AA28&lt;&gt;"",'Γενικά Δεδομένα'!$I$4,"")</f>
        <v/>
      </c>
      <c r="AK28" s="109" t="str">
        <f t="shared" si="33"/>
        <v/>
      </c>
      <c r="AO28" s="124" t="str">
        <f t="shared" si="16"/>
        <v/>
      </c>
      <c r="AP28" s="113" t="str">
        <f t="shared" si="17"/>
        <v/>
      </c>
      <c r="AQ28" s="113" t="str">
        <f t="shared" si="18"/>
        <v/>
      </c>
      <c r="AR28" s="113" t="str">
        <f t="shared" si="19"/>
        <v/>
      </c>
      <c r="AS28" s="107" t="str">
        <f>IF(AO28&lt;&gt;"",'Νέα ΦΣ'!I20+'Νέα ΦΣ'!J20,"")</f>
        <v/>
      </c>
      <c r="AT28" s="106" t="str">
        <f>IF(AO28&lt;&gt;"",'Νέα ΦΣ'!N20,"")</f>
        <v/>
      </c>
      <c r="AU28" s="106" t="str">
        <f>IF(AO28&lt;&gt;"",Υπολογισμοί!J23,"")</f>
        <v/>
      </c>
      <c r="AW28" s="113" t="str">
        <f>IF(Βραχίονες!C23&lt;&gt;"",Βραχίονες!F23+Βραχίονες!G23,"")</f>
        <v/>
      </c>
      <c r="AX28" s="106" t="str">
        <f>IF(Βραχίονες!C23&lt;&gt;"",Υπολογισμοί!K23,"")</f>
        <v/>
      </c>
      <c r="AY28" s="106" t="str">
        <f>IF(Βραχίονες!C23&lt;&gt;"",Υπολογισμοί!L23,"")</f>
        <v/>
      </c>
      <c r="AZ28" s="106" t="str">
        <f>IF(Βραχίονες!C23&lt;&gt;"",Υπολογισμοί!K23+Υπολογισμοί!L23,"")</f>
        <v/>
      </c>
    </row>
    <row r="29" spans="1:52" x14ac:dyDescent="0.15">
      <c r="A29" s="105" t="str">
        <f>IF('Συμβατικά ΦΣ'!B20&lt;&gt;"",'Συμβατικά ΦΣ'!C20,"")</f>
        <v/>
      </c>
      <c r="B29" s="103" t="str">
        <f>IF('Συμβατικά ΦΣ'!B20&lt;&gt;"",'Συμβατικά ΦΣ'!I20,"")</f>
        <v/>
      </c>
      <c r="C29" s="106" t="str">
        <f>IF('Συμβατικά ΦΣ'!B20&lt;&gt;"",'Συμβατικά ΦΣ'!J20,"")</f>
        <v/>
      </c>
      <c r="D29" s="107" t="str">
        <f>IF('Συμβατικά ΦΣ'!B20&lt;&gt;"",'Συμβατικά ΦΣ'!L20,"")</f>
        <v/>
      </c>
      <c r="E29" s="103" t="str">
        <f>IF('Συμβατικά ΦΣ'!B20&lt;&gt;"",'Συμβατικά ΦΣ'!K20,"")</f>
        <v/>
      </c>
      <c r="G29" s="105" t="str">
        <f t="shared" si="2"/>
        <v/>
      </c>
      <c r="H29" s="102" t="str">
        <f t="shared" si="3"/>
        <v/>
      </c>
      <c r="I29" s="106" t="str">
        <f t="shared" si="4"/>
        <v/>
      </c>
      <c r="J29" s="107" t="str">
        <f t="shared" si="5"/>
        <v/>
      </c>
      <c r="K29" s="107" t="str">
        <f t="shared" si="6"/>
        <v/>
      </c>
      <c r="L29" s="106" t="str">
        <f>IF(G29&lt;&gt;"",'Γενικά Δεδομένα'!$I$6*365,"")</f>
        <v/>
      </c>
      <c r="M29" s="109" t="str">
        <f>IF(G29&lt;&gt;"",Υπολογισμοί!G24,"")</f>
        <v/>
      </c>
      <c r="N29" s="110" t="str">
        <f>IF(G29&lt;&gt;"",'Γενικά Δεδομένα'!$I$4,"")</f>
        <v/>
      </c>
      <c r="O29" s="109" t="str">
        <f>IF(G29&lt;&gt;"",M29*'Γενικά Δεδομένα'!$I$4,"")</f>
        <v/>
      </c>
      <c r="Q29" s="120" t="str">
        <f t="shared" si="20"/>
        <v/>
      </c>
      <c r="R29" s="121" t="str">
        <f t="shared" si="21"/>
        <v/>
      </c>
      <c r="S29" s="122" t="str">
        <f t="shared" si="22"/>
        <v/>
      </c>
      <c r="T29" s="123"/>
      <c r="U29" s="124" t="str">
        <f>IF(Q29&lt;&gt;"",'Νέα ΦΣ'!D21,"")</f>
        <v/>
      </c>
      <c r="V29" s="113" t="str">
        <f>IF(Q29&lt;&gt;"",'Νέα ΦΣ'!M21,"")</f>
        <v/>
      </c>
      <c r="W29" s="113" t="str">
        <f t="shared" si="23"/>
        <v/>
      </c>
      <c r="X29" s="113" t="str">
        <f>IF(Q29&lt;&gt;"",'Νέα ΦΣ'!O21,"")</f>
        <v/>
      </c>
      <c r="Y29" s="107" t="str">
        <f t="shared" si="24"/>
        <v/>
      </c>
      <c r="AA29" s="105" t="str">
        <f t="shared" si="25"/>
        <v/>
      </c>
      <c r="AB29" s="102" t="str">
        <f t="shared" si="26"/>
        <v/>
      </c>
      <c r="AC29" s="102" t="str">
        <f t="shared" si="27"/>
        <v/>
      </c>
      <c r="AD29" s="102" t="str">
        <f t="shared" si="28"/>
        <v/>
      </c>
      <c r="AE29" s="102" t="str">
        <f t="shared" si="29"/>
        <v/>
      </c>
      <c r="AF29" s="107" t="str">
        <f t="shared" si="30"/>
        <v/>
      </c>
      <c r="AG29" s="102" t="str">
        <f t="shared" si="31"/>
        <v/>
      </c>
      <c r="AH29" s="109" t="str">
        <f t="shared" si="32"/>
        <v/>
      </c>
      <c r="AI29" s="109" t="str">
        <f>IF(AA29&lt;&gt;"",Υπολογισμοί!H24,"")</f>
        <v/>
      </c>
      <c r="AJ29" s="111" t="str">
        <f>IF(AA29&lt;&gt;"",'Γενικά Δεδομένα'!$I$4,"")</f>
        <v/>
      </c>
      <c r="AK29" s="109" t="str">
        <f t="shared" si="33"/>
        <v/>
      </c>
      <c r="AO29" s="124" t="str">
        <f t="shared" si="16"/>
        <v/>
      </c>
      <c r="AP29" s="113" t="str">
        <f t="shared" si="17"/>
        <v/>
      </c>
      <c r="AQ29" s="113" t="str">
        <f t="shared" si="18"/>
        <v/>
      </c>
      <c r="AR29" s="113" t="str">
        <f t="shared" si="19"/>
        <v/>
      </c>
      <c r="AS29" s="107" t="str">
        <f>IF(AO29&lt;&gt;"",'Νέα ΦΣ'!I21+'Νέα ΦΣ'!J21,"")</f>
        <v/>
      </c>
      <c r="AT29" s="106" t="str">
        <f>IF(AO29&lt;&gt;"",'Νέα ΦΣ'!N21,"")</f>
        <v/>
      </c>
      <c r="AU29" s="106" t="str">
        <f>IF(AO29&lt;&gt;"",Υπολογισμοί!J24,"")</f>
        <v/>
      </c>
      <c r="AW29" s="113" t="str">
        <f>IF(Βραχίονες!C24&lt;&gt;"",Βραχίονες!F24+Βραχίονες!G24,"")</f>
        <v/>
      </c>
      <c r="AX29" s="106" t="str">
        <f>IF(Βραχίονες!C24&lt;&gt;"",Υπολογισμοί!K24,"")</f>
        <v/>
      </c>
      <c r="AY29" s="106" t="str">
        <f>IF(Βραχίονες!C24&lt;&gt;"",Υπολογισμοί!L24,"")</f>
        <v/>
      </c>
      <c r="AZ29" s="106" t="str">
        <f>IF(Βραχίονες!C24&lt;&gt;"",Υπολογισμοί!K24+Υπολογισμοί!L24,"")</f>
        <v/>
      </c>
    </row>
    <row r="30" spans="1:52" x14ac:dyDescent="0.15">
      <c r="A30" s="105" t="str">
        <f>IF('Συμβατικά ΦΣ'!B21&lt;&gt;"",'Συμβατικά ΦΣ'!C21,"")</f>
        <v/>
      </c>
      <c r="B30" s="103" t="str">
        <f>IF('Συμβατικά ΦΣ'!B21&lt;&gt;"",'Συμβατικά ΦΣ'!I21,"")</f>
        <v/>
      </c>
      <c r="C30" s="106" t="str">
        <f>IF('Συμβατικά ΦΣ'!B21&lt;&gt;"",'Συμβατικά ΦΣ'!J21,"")</f>
        <v/>
      </c>
      <c r="D30" s="107" t="str">
        <f>IF('Συμβατικά ΦΣ'!B21&lt;&gt;"",'Συμβατικά ΦΣ'!L21,"")</f>
        <v/>
      </c>
      <c r="E30" s="103" t="str">
        <f>IF('Συμβατικά ΦΣ'!B21&lt;&gt;"",'Συμβατικά ΦΣ'!K21,"")</f>
        <v/>
      </c>
      <c r="G30" s="105" t="str">
        <f t="shared" si="2"/>
        <v/>
      </c>
      <c r="H30" s="102" t="str">
        <f t="shared" si="3"/>
        <v/>
      </c>
      <c r="I30" s="106" t="str">
        <f t="shared" si="4"/>
        <v/>
      </c>
      <c r="J30" s="107" t="str">
        <f t="shared" si="5"/>
        <v/>
      </c>
      <c r="K30" s="107" t="str">
        <f t="shared" si="6"/>
        <v/>
      </c>
      <c r="L30" s="106" t="str">
        <f>IF(G30&lt;&gt;"",'Γενικά Δεδομένα'!$I$6*365,"")</f>
        <v/>
      </c>
      <c r="M30" s="109" t="str">
        <f>IF(G30&lt;&gt;"",Υπολογισμοί!G25,"")</f>
        <v/>
      </c>
      <c r="N30" s="110" t="str">
        <f>IF(G30&lt;&gt;"",'Γενικά Δεδομένα'!$I$4,"")</f>
        <v/>
      </c>
      <c r="O30" s="109" t="str">
        <f>IF(G30&lt;&gt;"",M30*'Γενικά Δεδομένα'!$I$4,"")</f>
        <v/>
      </c>
      <c r="Q30" s="120" t="str">
        <f t="shared" si="20"/>
        <v/>
      </c>
      <c r="R30" s="121" t="str">
        <f t="shared" si="21"/>
        <v/>
      </c>
      <c r="S30" s="122" t="str">
        <f t="shared" si="22"/>
        <v/>
      </c>
      <c r="T30" s="123"/>
      <c r="U30" s="124" t="str">
        <f>IF(Q30&lt;&gt;"",'Νέα ΦΣ'!D22,"")</f>
        <v/>
      </c>
      <c r="V30" s="113" t="str">
        <f>IF(Q30&lt;&gt;"",'Νέα ΦΣ'!M22,"")</f>
        <v/>
      </c>
      <c r="W30" s="113" t="str">
        <f t="shared" si="23"/>
        <v/>
      </c>
      <c r="X30" s="113" t="str">
        <f>IF(Q30&lt;&gt;"",'Νέα ΦΣ'!O22,"")</f>
        <v/>
      </c>
      <c r="Y30" s="107" t="str">
        <f t="shared" si="24"/>
        <v/>
      </c>
      <c r="AA30" s="105" t="str">
        <f t="shared" si="25"/>
        <v/>
      </c>
      <c r="AB30" s="102" t="str">
        <f t="shared" si="26"/>
        <v/>
      </c>
      <c r="AC30" s="102" t="str">
        <f t="shared" si="27"/>
        <v/>
      </c>
      <c r="AD30" s="102" t="str">
        <f t="shared" si="28"/>
        <v/>
      </c>
      <c r="AE30" s="102" t="str">
        <f t="shared" si="29"/>
        <v/>
      </c>
      <c r="AF30" s="107" t="str">
        <f t="shared" si="30"/>
        <v/>
      </c>
      <c r="AG30" s="102" t="str">
        <f t="shared" si="31"/>
        <v/>
      </c>
      <c r="AH30" s="109" t="str">
        <f t="shared" si="32"/>
        <v/>
      </c>
      <c r="AI30" s="109" t="str">
        <f>IF(AA30&lt;&gt;"",Υπολογισμοί!H25,"")</f>
        <v/>
      </c>
      <c r="AJ30" s="111" t="str">
        <f>IF(AA30&lt;&gt;"",'Γενικά Δεδομένα'!$I$4,"")</f>
        <v/>
      </c>
      <c r="AK30" s="109" t="str">
        <f t="shared" si="33"/>
        <v/>
      </c>
      <c r="AO30" s="124" t="str">
        <f t="shared" si="16"/>
        <v/>
      </c>
      <c r="AP30" s="113" t="str">
        <f t="shared" si="17"/>
        <v/>
      </c>
      <c r="AQ30" s="113" t="str">
        <f t="shared" si="18"/>
        <v/>
      </c>
      <c r="AR30" s="113" t="str">
        <f t="shared" si="19"/>
        <v/>
      </c>
      <c r="AS30" s="107" t="str">
        <f>IF(AO30&lt;&gt;"",'Νέα ΦΣ'!I22+'Νέα ΦΣ'!J22,"")</f>
        <v/>
      </c>
      <c r="AT30" s="106" t="str">
        <f>IF(AO30&lt;&gt;"",'Νέα ΦΣ'!N22,"")</f>
        <v/>
      </c>
      <c r="AU30" s="106" t="str">
        <f>IF(AO30&lt;&gt;"",Υπολογισμοί!J25,"")</f>
        <v/>
      </c>
      <c r="AW30" s="113" t="str">
        <f>IF(Βραχίονες!C25&lt;&gt;"",Βραχίονες!F25+Βραχίονες!G25,"")</f>
        <v/>
      </c>
      <c r="AX30" s="106" t="str">
        <f>IF(Βραχίονες!C25&lt;&gt;"",Υπολογισμοί!K25,"")</f>
        <v/>
      </c>
      <c r="AY30" s="106" t="str">
        <f>IF(Βραχίονες!C25&lt;&gt;"",Υπολογισμοί!L25,"")</f>
        <v/>
      </c>
      <c r="AZ30" s="106" t="str">
        <f>IF(Βραχίονες!C25&lt;&gt;"",Υπολογισμοί!K25+Υπολογισμοί!L25,"")</f>
        <v/>
      </c>
    </row>
    <row r="31" spans="1:52" x14ac:dyDescent="0.15">
      <c r="A31" s="105" t="str">
        <f>IF('Συμβατικά ΦΣ'!B22&lt;&gt;"",'Συμβατικά ΦΣ'!C22,"")</f>
        <v/>
      </c>
      <c r="B31" s="103" t="str">
        <f>IF('Συμβατικά ΦΣ'!B22&lt;&gt;"",'Συμβατικά ΦΣ'!I22,"")</f>
        <v/>
      </c>
      <c r="C31" s="106" t="str">
        <f>IF('Συμβατικά ΦΣ'!B22&lt;&gt;"",'Συμβατικά ΦΣ'!J22,"")</f>
        <v/>
      </c>
      <c r="D31" s="107" t="str">
        <f>IF('Συμβατικά ΦΣ'!B22&lt;&gt;"",'Συμβατικά ΦΣ'!L22,"")</f>
        <v/>
      </c>
      <c r="E31" s="103" t="str">
        <f>IF('Συμβατικά ΦΣ'!B22&lt;&gt;"",'Συμβατικά ΦΣ'!K22,"")</f>
        <v/>
      </c>
      <c r="G31" s="105" t="str">
        <f t="shared" si="2"/>
        <v/>
      </c>
      <c r="H31" s="102" t="str">
        <f t="shared" si="3"/>
        <v/>
      </c>
      <c r="I31" s="106" t="str">
        <f t="shared" si="4"/>
        <v/>
      </c>
      <c r="J31" s="107" t="str">
        <f t="shared" si="5"/>
        <v/>
      </c>
      <c r="K31" s="107" t="str">
        <f t="shared" si="6"/>
        <v/>
      </c>
      <c r="L31" s="106" t="str">
        <f>IF(G31&lt;&gt;"",'Γενικά Δεδομένα'!$I$6*365,"")</f>
        <v/>
      </c>
      <c r="M31" s="109" t="str">
        <f>IF(G31&lt;&gt;"",Υπολογισμοί!G26,"")</f>
        <v/>
      </c>
      <c r="N31" s="110" t="str">
        <f>IF(G31&lt;&gt;"",'Γενικά Δεδομένα'!$I$4,"")</f>
        <v/>
      </c>
      <c r="O31" s="109" t="str">
        <f>IF(G31&lt;&gt;"",M31*'Γενικά Δεδομένα'!$I$4,"")</f>
        <v/>
      </c>
      <c r="Q31" s="120" t="str">
        <f t="shared" si="20"/>
        <v/>
      </c>
      <c r="R31" s="121" t="str">
        <f t="shared" si="21"/>
        <v/>
      </c>
      <c r="S31" s="122" t="str">
        <f t="shared" si="22"/>
        <v/>
      </c>
      <c r="T31" s="123"/>
      <c r="U31" s="124" t="str">
        <f>IF(Q31&lt;&gt;"",'Νέα ΦΣ'!D23,"")</f>
        <v/>
      </c>
      <c r="V31" s="113" t="str">
        <f>IF(Q31&lt;&gt;"",'Νέα ΦΣ'!M23,"")</f>
        <v/>
      </c>
      <c r="W31" s="113" t="str">
        <f t="shared" si="23"/>
        <v/>
      </c>
      <c r="X31" s="113" t="str">
        <f>IF(Q31&lt;&gt;"",'Νέα ΦΣ'!O23,"")</f>
        <v/>
      </c>
      <c r="Y31" s="107" t="str">
        <f t="shared" si="24"/>
        <v/>
      </c>
      <c r="AA31" s="105" t="str">
        <f t="shared" si="25"/>
        <v/>
      </c>
      <c r="AB31" s="102" t="str">
        <f t="shared" si="26"/>
        <v/>
      </c>
      <c r="AC31" s="102" t="str">
        <f t="shared" si="27"/>
        <v/>
      </c>
      <c r="AD31" s="102" t="str">
        <f t="shared" si="28"/>
        <v/>
      </c>
      <c r="AE31" s="102" t="str">
        <f t="shared" si="29"/>
        <v/>
      </c>
      <c r="AF31" s="107" t="str">
        <f t="shared" si="30"/>
        <v/>
      </c>
      <c r="AG31" s="102" t="str">
        <f t="shared" si="31"/>
        <v/>
      </c>
      <c r="AH31" s="109" t="str">
        <f t="shared" si="32"/>
        <v/>
      </c>
      <c r="AI31" s="109" t="str">
        <f>IF(AA31&lt;&gt;"",Υπολογισμοί!H26,"")</f>
        <v/>
      </c>
      <c r="AJ31" s="111" t="str">
        <f>IF(AA31&lt;&gt;"",'Γενικά Δεδομένα'!$I$4,"")</f>
        <v/>
      </c>
      <c r="AK31" s="109" t="str">
        <f t="shared" si="33"/>
        <v/>
      </c>
      <c r="AO31" s="124" t="str">
        <f t="shared" si="16"/>
        <v/>
      </c>
      <c r="AP31" s="113" t="str">
        <f t="shared" si="17"/>
        <v/>
      </c>
      <c r="AQ31" s="113" t="str">
        <f t="shared" si="18"/>
        <v/>
      </c>
      <c r="AR31" s="113" t="str">
        <f t="shared" si="19"/>
        <v/>
      </c>
      <c r="AS31" s="107" t="str">
        <f>IF(AO31&lt;&gt;"",'Νέα ΦΣ'!I23+'Νέα ΦΣ'!J23,"")</f>
        <v/>
      </c>
      <c r="AT31" s="106" t="str">
        <f>IF(AO31&lt;&gt;"",'Νέα ΦΣ'!N23,"")</f>
        <v/>
      </c>
      <c r="AU31" s="106" t="str">
        <f>IF(AO31&lt;&gt;"",Υπολογισμοί!J26,"")</f>
        <v/>
      </c>
      <c r="AW31" s="113" t="str">
        <f>IF(Βραχίονες!C26&lt;&gt;"",Βραχίονες!F26+Βραχίονες!G26,"")</f>
        <v/>
      </c>
      <c r="AX31" s="106" t="str">
        <f>IF(Βραχίονες!C26&lt;&gt;"",Υπολογισμοί!K26,"")</f>
        <v/>
      </c>
      <c r="AY31" s="106" t="str">
        <f>IF(Βραχίονες!C26&lt;&gt;"",Υπολογισμοί!L26,"")</f>
        <v/>
      </c>
      <c r="AZ31" s="106" t="str">
        <f>IF(Βραχίονες!C26&lt;&gt;"",Υπολογισμοί!K26+Υπολογισμοί!L26,"")</f>
        <v/>
      </c>
    </row>
    <row r="32" spans="1:52" x14ac:dyDescent="0.15">
      <c r="A32" s="105" t="str">
        <f>IF('Συμβατικά ΦΣ'!B23&lt;&gt;"",'Συμβατικά ΦΣ'!C23,"")</f>
        <v/>
      </c>
      <c r="B32" s="103" t="str">
        <f>IF('Συμβατικά ΦΣ'!B23&lt;&gt;"",'Συμβατικά ΦΣ'!I23,"")</f>
        <v/>
      </c>
      <c r="C32" s="106" t="str">
        <f>IF('Συμβατικά ΦΣ'!B23&lt;&gt;"",'Συμβατικά ΦΣ'!J23,"")</f>
        <v/>
      </c>
      <c r="D32" s="107" t="str">
        <f>IF('Συμβατικά ΦΣ'!B23&lt;&gt;"",'Συμβατικά ΦΣ'!L23,"")</f>
        <v/>
      </c>
      <c r="E32" s="103" t="str">
        <f>IF('Συμβατικά ΦΣ'!B23&lt;&gt;"",'Συμβατικά ΦΣ'!K23,"")</f>
        <v/>
      </c>
      <c r="G32" s="105" t="str">
        <f t="shared" si="2"/>
        <v/>
      </c>
      <c r="H32" s="102" t="str">
        <f t="shared" si="3"/>
        <v/>
      </c>
      <c r="I32" s="106" t="str">
        <f t="shared" si="4"/>
        <v/>
      </c>
      <c r="J32" s="107" t="str">
        <f t="shared" si="5"/>
        <v/>
      </c>
      <c r="K32" s="107" t="str">
        <f t="shared" si="6"/>
        <v/>
      </c>
      <c r="L32" s="106" t="str">
        <f>IF(G32&lt;&gt;"",'Γενικά Δεδομένα'!$I$6*365,"")</f>
        <v/>
      </c>
      <c r="M32" s="109" t="str">
        <f>IF(G32&lt;&gt;"",Υπολογισμοί!G27,"")</f>
        <v/>
      </c>
      <c r="N32" s="110" t="str">
        <f>IF(G32&lt;&gt;"",'Γενικά Δεδομένα'!$I$4,"")</f>
        <v/>
      </c>
      <c r="O32" s="109" t="str">
        <f>IF(G32&lt;&gt;"",M32*'Γενικά Δεδομένα'!$I$4,"")</f>
        <v/>
      </c>
      <c r="Q32" s="120" t="str">
        <f t="shared" si="20"/>
        <v/>
      </c>
      <c r="R32" s="121" t="str">
        <f t="shared" si="21"/>
        <v/>
      </c>
      <c r="S32" s="122" t="str">
        <f t="shared" si="22"/>
        <v/>
      </c>
      <c r="T32" s="123"/>
      <c r="U32" s="124" t="str">
        <f>IF(Q32&lt;&gt;"",'Νέα ΦΣ'!D24,"")</f>
        <v/>
      </c>
      <c r="V32" s="113" t="str">
        <f>IF(Q32&lt;&gt;"",'Νέα ΦΣ'!M24,"")</f>
        <v/>
      </c>
      <c r="W32" s="113" t="str">
        <f t="shared" si="23"/>
        <v/>
      </c>
      <c r="X32" s="113" t="str">
        <f>IF(Q32&lt;&gt;"",'Νέα ΦΣ'!O24,"")</f>
        <v/>
      </c>
      <c r="Y32" s="107" t="str">
        <f t="shared" si="24"/>
        <v/>
      </c>
      <c r="AA32" s="105" t="str">
        <f t="shared" si="25"/>
        <v/>
      </c>
      <c r="AB32" s="102" t="str">
        <f t="shared" si="26"/>
        <v/>
      </c>
      <c r="AC32" s="102" t="str">
        <f t="shared" si="27"/>
        <v/>
      </c>
      <c r="AD32" s="102" t="str">
        <f t="shared" si="28"/>
        <v/>
      </c>
      <c r="AE32" s="102" t="str">
        <f t="shared" si="29"/>
        <v/>
      </c>
      <c r="AF32" s="107" t="str">
        <f t="shared" si="30"/>
        <v/>
      </c>
      <c r="AG32" s="102" t="str">
        <f t="shared" si="31"/>
        <v/>
      </c>
      <c r="AH32" s="109" t="str">
        <f t="shared" si="32"/>
        <v/>
      </c>
      <c r="AI32" s="109" t="str">
        <f>IF(AA32&lt;&gt;"",Υπολογισμοί!H27,"")</f>
        <v/>
      </c>
      <c r="AJ32" s="111" t="str">
        <f>IF(AA32&lt;&gt;"",'Γενικά Δεδομένα'!$I$4,"")</f>
        <v/>
      </c>
      <c r="AK32" s="109" t="str">
        <f t="shared" si="33"/>
        <v/>
      </c>
      <c r="AO32" s="124" t="str">
        <f t="shared" si="16"/>
        <v/>
      </c>
      <c r="AP32" s="113" t="str">
        <f t="shared" si="17"/>
        <v/>
      </c>
      <c r="AQ32" s="113" t="str">
        <f t="shared" si="18"/>
        <v/>
      </c>
      <c r="AR32" s="113" t="str">
        <f t="shared" si="19"/>
        <v/>
      </c>
      <c r="AS32" s="107" t="str">
        <f>IF(AO32&lt;&gt;"",'Νέα ΦΣ'!I24+'Νέα ΦΣ'!J24,"")</f>
        <v/>
      </c>
      <c r="AT32" s="106" t="str">
        <f>IF(AO32&lt;&gt;"",'Νέα ΦΣ'!N24,"")</f>
        <v/>
      </c>
      <c r="AU32" s="106" t="str">
        <f>IF(AO32&lt;&gt;"",Υπολογισμοί!J27,"")</f>
        <v/>
      </c>
      <c r="AW32" s="113" t="str">
        <f>IF(Βραχίονες!C27&lt;&gt;"",Βραχίονες!F27+Βραχίονες!G27,"")</f>
        <v/>
      </c>
      <c r="AX32" s="106" t="str">
        <f>IF(Βραχίονες!C27&lt;&gt;"",Υπολογισμοί!K27,"")</f>
        <v/>
      </c>
      <c r="AY32" s="106" t="str">
        <f>IF(Βραχίονες!C27&lt;&gt;"",Υπολογισμοί!L27,"")</f>
        <v/>
      </c>
      <c r="AZ32" s="106" t="str">
        <f>IF(Βραχίονες!C27&lt;&gt;"",Υπολογισμοί!K27+Υπολογισμοί!L27,"")</f>
        <v/>
      </c>
    </row>
    <row r="33" spans="1:52" x14ac:dyDescent="0.15">
      <c r="A33" s="105" t="str">
        <f>IF('Συμβατικά ΦΣ'!B24&lt;&gt;"",'Συμβατικά ΦΣ'!C24,"")</f>
        <v/>
      </c>
      <c r="B33" s="103" t="str">
        <f>IF('Συμβατικά ΦΣ'!B24&lt;&gt;"",'Συμβατικά ΦΣ'!I24,"")</f>
        <v/>
      </c>
      <c r="C33" s="106" t="str">
        <f>IF('Συμβατικά ΦΣ'!B24&lt;&gt;"",'Συμβατικά ΦΣ'!J24,"")</f>
        <v/>
      </c>
      <c r="D33" s="107" t="str">
        <f>IF('Συμβατικά ΦΣ'!B24&lt;&gt;"",'Συμβατικά ΦΣ'!L24,"")</f>
        <v/>
      </c>
      <c r="E33" s="103" t="str">
        <f>IF('Συμβατικά ΦΣ'!B24&lt;&gt;"",'Συμβατικά ΦΣ'!K24,"")</f>
        <v/>
      </c>
      <c r="G33" s="105" t="str">
        <f t="shared" si="2"/>
        <v/>
      </c>
      <c r="H33" s="102" t="str">
        <f t="shared" si="3"/>
        <v/>
      </c>
      <c r="I33" s="106" t="str">
        <f t="shared" si="4"/>
        <v/>
      </c>
      <c r="J33" s="107" t="str">
        <f t="shared" si="5"/>
        <v/>
      </c>
      <c r="K33" s="107" t="str">
        <f t="shared" si="6"/>
        <v/>
      </c>
      <c r="L33" s="106" t="str">
        <f>IF(G33&lt;&gt;"",'Γενικά Δεδομένα'!$I$6*365,"")</f>
        <v/>
      </c>
      <c r="M33" s="109" t="str">
        <f>IF(G33&lt;&gt;"",Υπολογισμοί!G28,"")</f>
        <v/>
      </c>
      <c r="N33" s="110" t="str">
        <f>IF(G33&lt;&gt;"",'Γενικά Δεδομένα'!$I$4,"")</f>
        <v/>
      </c>
      <c r="O33" s="109" t="str">
        <f>IF(G33&lt;&gt;"",M33*'Γενικά Δεδομένα'!$I$4,"")</f>
        <v/>
      </c>
      <c r="Q33" s="120" t="str">
        <f t="shared" si="20"/>
        <v/>
      </c>
      <c r="R33" s="121" t="str">
        <f t="shared" si="21"/>
        <v/>
      </c>
      <c r="S33" s="122" t="str">
        <f t="shared" si="22"/>
        <v/>
      </c>
      <c r="T33" s="123"/>
      <c r="U33" s="124" t="str">
        <f>IF(Q33&lt;&gt;"",'Νέα ΦΣ'!D25,"")</f>
        <v/>
      </c>
      <c r="V33" s="113" t="str">
        <f>IF(Q33&lt;&gt;"",'Νέα ΦΣ'!M25,"")</f>
        <v/>
      </c>
      <c r="W33" s="113" t="str">
        <f t="shared" si="23"/>
        <v/>
      </c>
      <c r="X33" s="113" t="str">
        <f>IF(Q33&lt;&gt;"",'Νέα ΦΣ'!O25,"")</f>
        <v/>
      </c>
      <c r="Y33" s="107" t="str">
        <f t="shared" si="24"/>
        <v/>
      </c>
      <c r="AA33" s="105" t="str">
        <f t="shared" si="25"/>
        <v/>
      </c>
      <c r="AB33" s="102" t="str">
        <f t="shared" si="26"/>
        <v/>
      </c>
      <c r="AC33" s="102" t="str">
        <f t="shared" si="27"/>
        <v/>
      </c>
      <c r="AD33" s="102" t="str">
        <f t="shared" si="28"/>
        <v/>
      </c>
      <c r="AE33" s="102" t="str">
        <f t="shared" si="29"/>
        <v/>
      </c>
      <c r="AF33" s="107" t="str">
        <f t="shared" si="30"/>
        <v/>
      </c>
      <c r="AG33" s="102" t="str">
        <f t="shared" si="31"/>
        <v/>
      </c>
      <c r="AH33" s="109" t="str">
        <f t="shared" si="32"/>
        <v/>
      </c>
      <c r="AI33" s="109" t="str">
        <f>IF(AA33&lt;&gt;"",Υπολογισμοί!H28,"")</f>
        <v/>
      </c>
      <c r="AJ33" s="111" t="str">
        <f>IF(AA33&lt;&gt;"",'Γενικά Δεδομένα'!$I$4,"")</f>
        <v/>
      </c>
      <c r="AK33" s="109" t="str">
        <f t="shared" si="33"/>
        <v/>
      </c>
      <c r="AO33" s="124" t="str">
        <f t="shared" si="16"/>
        <v/>
      </c>
      <c r="AP33" s="113" t="str">
        <f t="shared" si="17"/>
        <v/>
      </c>
      <c r="AQ33" s="113" t="str">
        <f t="shared" si="18"/>
        <v/>
      </c>
      <c r="AR33" s="113" t="str">
        <f t="shared" si="19"/>
        <v/>
      </c>
      <c r="AS33" s="107" t="str">
        <f>IF(AO33&lt;&gt;"",'Νέα ΦΣ'!I25+'Νέα ΦΣ'!J25,"")</f>
        <v/>
      </c>
      <c r="AT33" s="106" t="str">
        <f>IF(AO33&lt;&gt;"",'Νέα ΦΣ'!N25,"")</f>
        <v/>
      </c>
      <c r="AU33" s="106" t="str">
        <f>IF(AO33&lt;&gt;"",Υπολογισμοί!J28,"")</f>
        <v/>
      </c>
      <c r="AW33" s="113" t="str">
        <f>IF(Βραχίονες!C28&lt;&gt;"",Βραχίονες!F28+Βραχίονες!G28,"")</f>
        <v/>
      </c>
      <c r="AX33" s="106" t="str">
        <f>IF(Βραχίονες!C28&lt;&gt;"",Υπολογισμοί!K28,"")</f>
        <v/>
      </c>
      <c r="AY33" s="106" t="str">
        <f>IF(Βραχίονες!C28&lt;&gt;"",Υπολογισμοί!L28,"")</f>
        <v/>
      </c>
      <c r="AZ33" s="106" t="str">
        <f>IF(Βραχίονες!C28&lt;&gt;"",Υπολογισμοί!K28+Υπολογισμοί!L28,"")</f>
        <v/>
      </c>
    </row>
    <row r="34" spans="1:52" x14ac:dyDescent="0.15">
      <c r="A34" s="105" t="str">
        <f>IF('Συμβατικά ΦΣ'!B25&lt;&gt;"",'Συμβατικά ΦΣ'!C25,"")</f>
        <v/>
      </c>
      <c r="B34" s="103" t="str">
        <f>IF('Συμβατικά ΦΣ'!B25&lt;&gt;"",'Συμβατικά ΦΣ'!I25,"")</f>
        <v/>
      </c>
      <c r="C34" s="106" t="str">
        <f>IF('Συμβατικά ΦΣ'!B25&lt;&gt;"",'Συμβατικά ΦΣ'!J25,"")</f>
        <v/>
      </c>
      <c r="D34" s="107" t="str">
        <f>IF('Συμβατικά ΦΣ'!B25&lt;&gt;"",'Συμβατικά ΦΣ'!L25,"")</f>
        <v/>
      </c>
      <c r="E34" s="103" t="str">
        <f>IF('Συμβατικά ΦΣ'!B25&lt;&gt;"",'Συμβατικά ΦΣ'!K25,"")</f>
        <v/>
      </c>
      <c r="G34" s="105" t="str">
        <f t="shared" si="2"/>
        <v/>
      </c>
      <c r="H34" s="102" t="str">
        <f t="shared" si="3"/>
        <v/>
      </c>
      <c r="I34" s="106" t="str">
        <f t="shared" si="4"/>
        <v/>
      </c>
      <c r="J34" s="107" t="str">
        <f t="shared" si="5"/>
        <v/>
      </c>
      <c r="K34" s="107" t="str">
        <f t="shared" si="6"/>
        <v/>
      </c>
      <c r="L34" s="106" t="str">
        <f>IF(G34&lt;&gt;"",'Γενικά Δεδομένα'!$I$6*365,"")</f>
        <v/>
      </c>
      <c r="M34" s="109" t="str">
        <f>IF(G34&lt;&gt;"",Υπολογισμοί!G29,"")</f>
        <v/>
      </c>
      <c r="N34" s="110" t="str">
        <f>IF(G34&lt;&gt;"",'Γενικά Δεδομένα'!$I$4,"")</f>
        <v/>
      </c>
      <c r="O34" s="109" t="str">
        <f>IF(G34&lt;&gt;"",M34*'Γενικά Δεδομένα'!$I$4,"")</f>
        <v/>
      </c>
      <c r="Q34" s="120" t="str">
        <f t="shared" si="20"/>
        <v/>
      </c>
      <c r="R34" s="121" t="str">
        <f t="shared" si="21"/>
        <v/>
      </c>
      <c r="S34" s="122" t="str">
        <f t="shared" si="22"/>
        <v/>
      </c>
      <c r="T34" s="123"/>
      <c r="U34" s="124" t="str">
        <f>IF(Q34&lt;&gt;"",'Νέα ΦΣ'!D26,"")</f>
        <v/>
      </c>
      <c r="V34" s="113" t="str">
        <f>IF(Q34&lt;&gt;"",'Νέα ΦΣ'!M26,"")</f>
        <v/>
      </c>
      <c r="W34" s="113" t="str">
        <f t="shared" si="23"/>
        <v/>
      </c>
      <c r="X34" s="113" t="str">
        <f>IF(Q34&lt;&gt;"",'Νέα ΦΣ'!O26,"")</f>
        <v/>
      </c>
      <c r="Y34" s="107" t="str">
        <f t="shared" si="24"/>
        <v/>
      </c>
      <c r="AA34" s="105" t="str">
        <f t="shared" si="25"/>
        <v/>
      </c>
      <c r="AB34" s="102" t="str">
        <f t="shared" si="26"/>
        <v/>
      </c>
      <c r="AC34" s="102" t="str">
        <f t="shared" si="27"/>
        <v/>
      </c>
      <c r="AD34" s="102" t="str">
        <f t="shared" si="28"/>
        <v/>
      </c>
      <c r="AE34" s="102" t="str">
        <f t="shared" si="29"/>
        <v/>
      </c>
      <c r="AF34" s="107" t="str">
        <f t="shared" si="30"/>
        <v/>
      </c>
      <c r="AG34" s="102" t="str">
        <f t="shared" si="31"/>
        <v/>
      </c>
      <c r="AH34" s="109" t="str">
        <f t="shared" si="32"/>
        <v/>
      </c>
      <c r="AI34" s="109" t="str">
        <f>IF(AA34&lt;&gt;"",Υπολογισμοί!H29,"")</f>
        <v/>
      </c>
      <c r="AJ34" s="111" t="str">
        <f>IF(AA34&lt;&gt;"",'Γενικά Δεδομένα'!$I$4,"")</f>
        <v/>
      </c>
      <c r="AK34" s="109" t="str">
        <f t="shared" si="33"/>
        <v/>
      </c>
      <c r="AO34" s="124" t="str">
        <f t="shared" si="16"/>
        <v/>
      </c>
      <c r="AP34" s="113" t="str">
        <f t="shared" si="17"/>
        <v/>
      </c>
      <c r="AQ34" s="113" t="str">
        <f t="shared" si="18"/>
        <v/>
      </c>
      <c r="AR34" s="113" t="str">
        <f t="shared" si="19"/>
        <v/>
      </c>
      <c r="AS34" s="107" t="str">
        <f>IF(AO34&lt;&gt;"",'Νέα ΦΣ'!I26+'Νέα ΦΣ'!J26,"")</f>
        <v/>
      </c>
      <c r="AT34" s="106" t="str">
        <f>IF(AO34&lt;&gt;"",'Νέα ΦΣ'!N26,"")</f>
        <v/>
      </c>
      <c r="AU34" s="106" t="str">
        <f>IF(AO34&lt;&gt;"",Υπολογισμοί!J29,"")</f>
        <v/>
      </c>
      <c r="AW34" s="113" t="str">
        <f>IF(Βραχίονες!C29&lt;&gt;"",Βραχίονες!F29+Βραχίονες!G29,"")</f>
        <v/>
      </c>
      <c r="AX34" s="106" t="str">
        <f>IF(Βραχίονες!C29&lt;&gt;"",Υπολογισμοί!K29,"")</f>
        <v/>
      </c>
      <c r="AY34" s="106" t="str">
        <f>IF(Βραχίονες!C29&lt;&gt;"",Υπολογισμοί!L29,"")</f>
        <v/>
      </c>
      <c r="AZ34" s="106" t="str">
        <f>IF(Βραχίονες!C29&lt;&gt;"",Υπολογισμοί!K29+Υπολογισμοί!L29,"")</f>
        <v/>
      </c>
    </row>
    <row r="35" spans="1:52" x14ac:dyDescent="0.15">
      <c r="A35" s="105" t="str">
        <f>IF('Συμβατικά ΦΣ'!B26&lt;&gt;"",'Συμβατικά ΦΣ'!C26,"")</f>
        <v/>
      </c>
      <c r="B35" s="103" t="str">
        <f>IF('Συμβατικά ΦΣ'!B26&lt;&gt;"",'Συμβατικά ΦΣ'!I26,"")</f>
        <v/>
      </c>
      <c r="C35" s="106" t="str">
        <f>IF('Συμβατικά ΦΣ'!B26&lt;&gt;"",'Συμβατικά ΦΣ'!J26,"")</f>
        <v/>
      </c>
      <c r="D35" s="107" t="str">
        <f>IF('Συμβατικά ΦΣ'!B26&lt;&gt;"",'Συμβατικά ΦΣ'!L26,"")</f>
        <v/>
      </c>
      <c r="E35" s="103" t="str">
        <f>IF('Συμβατικά ΦΣ'!B26&lt;&gt;"",'Συμβατικά ΦΣ'!K26,"")</f>
        <v/>
      </c>
      <c r="G35" s="105" t="str">
        <f t="shared" si="2"/>
        <v/>
      </c>
      <c r="H35" s="102" t="str">
        <f t="shared" si="3"/>
        <v/>
      </c>
      <c r="I35" s="106" t="str">
        <f t="shared" si="4"/>
        <v/>
      </c>
      <c r="J35" s="107" t="str">
        <f t="shared" si="5"/>
        <v/>
      </c>
      <c r="K35" s="107" t="str">
        <f t="shared" si="6"/>
        <v/>
      </c>
      <c r="L35" s="106" t="str">
        <f>IF(G35&lt;&gt;"",'Γενικά Δεδομένα'!$I$6*365,"")</f>
        <v/>
      </c>
      <c r="M35" s="109" t="str">
        <f>IF(G35&lt;&gt;"",Υπολογισμοί!G30,"")</f>
        <v/>
      </c>
      <c r="N35" s="110" t="str">
        <f>IF(G35&lt;&gt;"",'Γενικά Δεδομένα'!$I$4,"")</f>
        <v/>
      </c>
      <c r="O35" s="109" t="str">
        <f>IF(G35&lt;&gt;"",M35*'Γενικά Δεδομένα'!$I$4,"")</f>
        <v/>
      </c>
      <c r="Q35" s="120" t="str">
        <f t="shared" si="20"/>
        <v/>
      </c>
      <c r="R35" s="121" t="str">
        <f t="shared" si="21"/>
        <v/>
      </c>
      <c r="S35" s="122" t="str">
        <f t="shared" si="22"/>
        <v/>
      </c>
      <c r="T35" s="123"/>
      <c r="U35" s="124" t="str">
        <f>IF(Q35&lt;&gt;"",'Νέα ΦΣ'!D27,"")</f>
        <v/>
      </c>
      <c r="V35" s="113" t="str">
        <f>IF(Q35&lt;&gt;"",'Νέα ΦΣ'!M27,"")</f>
        <v/>
      </c>
      <c r="W35" s="113" t="str">
        <f t="shared" si="23"/>
        <v/>
      </c>
      <c r="X35" s="113" t="str">
        <f>IF(Q35&lt;&gt;"",'Νέα ΦΣ'!O27,"")</f>
        <v/>
      </c>
      <c r="Y35" s="107" t="str">
        <f t="shared" si="24"/>
        <v/>
      </c>
      <c r="AA35" s="105" t="str">
        <f t="shared" si="25"/>
        <v/>
      </c>
      <c r="AB35" s="102" t="str">
        <f t="shared" si="26"/>
        <v/>
      </c>
      <c r="AC35" s="102" t="str">
        <f t="shared" si="27"/>
        <v/>
      </c>
      <c r="AD35" s="102" t="str">
        <f t="shared" si="28"/>
        <v/>
      </c>
      <c r="AE35" s="102" t="str">
        <f t="shared" si="29"/>
        <v/>
      </c>
      <c r="AF35" s="107" t="str">
        <f t="shared" si="30"/>
        <v/>
      </c>
      <c r="AG35" s="102" t="str">
        <f t="shared" si="31"/>
        <v/>
      </c>
      <c r="AH35" s="109" t="str">
        <f t="shared" si="32"/>
        <v/>
      </c>
      <c r="AI35" s="109" t="str">
        <f>IF(AA35&lt;&gt;"",Υπολογισμοί!H30,"")</f>
        <v/>
      </c>
      <c r="AJ35" s="111" t="str">
        <f>IF(AA35&lt;&gt;"",'Γενικά Δεδομένα'!$I$4,"")</f>
        <v/>
      </c>
      <c r="AK35" s="109" t="str">
        <f t="shared" si="33"/>
        <v/>
      </c>
      <c r="AO35" s="124" t="str">
        <f t="shared" si="16"/>
        <v/>
      </c>
      <c r="AP35" s="113" t="str">
        <f t="shared" si="17"/>
        <v/>
      </c>
      <c r="AQ35" s="113" t="str">
        <f t="shared" si="18"/>
        <v/>
      </c>
      <c r="AR35" s="113" t="str">
        <f t="shared" si="19"/>
        <v/>
      </c>
      <c r="AS35" s="107" t="str">
        <f>IF(AO35&lt;&gt;"",'Νέα ΦΣ'!I27+'Νέα ΦΣ'!J27,"")</f>
        <v/>
      </c>
      <c r="AT35" s="106" t="str">
        <f>IF(AO35&lt;&gt;"",'Νέα ΦΣ'!N27,"")</f>
        <v/>
      </c>
      <c r="AU35" s="106" t="str">
        <f>IF(AO35&lt;&gt;"",Υπολογισμοί!J30,"")</f>
        <v/>
      </c>
      <c r="AW35" s="113" t="str">
        <f>IF(Βραχίονες!C30&lt;&gt;"",Βραχίονες!F30+Βραχίονες!G30,"")</f>
        <v/>
      </c>
      <c r="AX35" s="106" t="str">
        <f>IF(Βραχίονες!C30&lt;&gt;"",Υπολογισμοί!K30,"")</f>
        <v/>
      </c>
      <c r="AY35" s="106" t="str">
        <f>IF(Βραχίονες!C30&lt;&gt;"",Υπολογισμοί!L30,"")</f>
        <v/>
      </c>
      <c r="AZ35" s="106" t="str">
        <f>IF(Βραχίονες!C30&lt;&gt;"",Υπολογισμοί!K30+Υπολογισμοί!L30,"")</f>
        <v/>
      </c>
    </row>
    <row r="36" spans="1:52" x14ac:dyDescent="0.15">
      <c r="A36" s="105" t="str">
        <f>IF('Συμβατικά ΦΣ'!B27&lt;&gt;"",'Συμβατικά ΦΣ'!C27,"")</f>
        <v/>
      </c>
      <c r="B36" s="103" t="str">
        <f>IF('Συμβατικά ΦΣ'!B27&lt;&gt;"",'Συμβατικά ΦΣ'!I27,"")</f>
        <v/>
      </c>
      <c r="C36" s="106" t="str">
        <f>IF('Συμβατικά ΦΣ'!B27&lt;&gt;"",'Συμβατικά ΦΣ'!J27,"")</f>
        <v/>
      </c>
      <c r="D36" s="107" t="str">
        <f>IF('Συμβατικά ΦΣ'!B27&lt;&gt;"",'Συμβατικά ΦΣ'!L27,"")</f>
        <v/>
      </c>
      <c r="E36" s="103" t="str">
        <f>IF('Συμβατικά ΦΣ'!B27&lt;&gt;"",'Συμβατικά ΦΣ'!K27,"")</f>
        <v/>
      </c>
      <c r="G36" s="105" t="str">
        <f t="shared" si="2"/>
        <v/>
      </c>
      <c r="H36" s="102" t="str">
        <f t="shared" si="3"/>
        <v/>
      </c>
      <c r="I36" s="106" t="str">
        <f t="shared" si="4"/>
        <v/>
      </c>
      <c r="J36" s="107" t="str">
        <f t="shared" si="5"/>
        <v/>
      </c>
      <c r="K36" s="107" t="str">
        <f t="shared" si="6"/>
        <v/>
      </c>
      <c r="L36" s="106" t="str">
        <f>IF(G36&lt;&gt;"",'Γενικά Δεδομένα'!$I$6*365,"")</f>
        <v/>
      </c>
      <c r="M36" s="109" t="str">
        <f>IF(G36&lt;&gt;"",Υπολογισμοί!G31,"")</f>
        <v/>
      </c>
      <c r="N36" s="110" t="str">
        <f>IF(G36&lt;&gt;"",'Γενικά Δεδομένα'!$I$4,"")</f>
        <v/>
      </c>
      <c r="O36" s="109" t="str">
        <f>IF(G36&lt;&gt;"",M36*'Γενικά Δεδομένα'!$I$4,"")</f>
        <v/>
      </c>
      <c r="Q36" s="120" t="str">
        <f t="shared" si="20"/>
        <v/>
      </c>
      <c r="R36" s="121" t="str">
        <f t="shared" si="21"/>
        <v/>
      </c>
      <c r="S36" s="122" t="str">
        <f t="shared" si="22"/>
        <v/>
      </c>
      <c r="T36" s="123"/>
      <c r="U36" s="124" t="str">
        <f>IF(Q36&lt;&gt;"",'Νέα ΦΣ'!D28,"")</f>
        <v/>
      </c>
      <c r="V36" s="113" t="str">
        <f>IF(Q36&lt;&gt;"",'Νέα ΦΣ'!M28,"")</f>
        <v/>
      </c>
      <c r="W36" s="113" t="str">
        <f t="shared" si="23"/>
        <v/>
      </c>
      <c r="X36" s="113" t="str">
        <f>IF(Q36&lt;&gt;"",'Νέα ΦΣ'!O28,"")</f>
        <v/>
      </c>
      <c r="Y36" s="107" t="str">
        <f t="shared" si="24"/>
        <v/>
      </c>
      <c r="AA36" s="105" t="str">
        <f t="shared" si="25"/>
        <v/>
      </c>
      <c r="AB36" s="102" t="str">
        <f t="shared" si="26"/>
        <v/>
      </c>
      <c r="AC36" s="102" t="str">
        <f t="shared" si="27"/>
        <v/>
      </c>
      <c r="AD36" s="102" t="str">
        <f t="shared" si="28"/>
        <v/>
      </c>
      <c r="AE36" s="102" t="str">
        <f t="shared" si="29"/>
        <v/>
      </c>
      <c r="AF36" s="107" t="str">
        <f t="shared" si="30"/>
        <v/>
      </c>
      <c r="AG36" s="102" t="str">
        <f t="shared" si="31"/>
        <v/>
      </c>
      <c r="AH36" s="109" t="str">
        <f t="shared" si="32"/>
        <v/>
      </c>
      <c r="AI36" s="109" t="str">
        <f>IF(AA36&lt;&gt;"",Υπολογισμοί!H31,"")</f>
        <v/>
      </c>
      <c r="AJ36" s="111" t="str">
        <f>IF(AA36&lt;&gt;"",'Γενικά Δεδομένα'!$I$4,"")</f>
        <v/>
      </c>
      <c r="AK36" s="109" t="str">
        <f t="shared" si="33"/>
        <v/>
      </c>
      <c r="AO36" s="124" t="str">
        <f t="shared" si="16"/>
        <v/>
      </c>
      <c r="AP36" s="113" t="str">
        <f t="shared" si="17"/>
        <v/>
      </c>
      <c r="AQ36" s="113" t="str">
        <f t="shared" si="18"/>
        <v/>
      </c>
      <c r="AR36" s="113" t="str">
        <f t="shared" si="19"/>
        <v/>
      </c>
      <c r="AS36" s="107" t="str">
        <f>IF(AO36&lt;&gt;"",'Νέα ΦΣ'!I28+'Νέα ΦΣ'!J28,"")</f>
        <v/>
      </c>
      <c r="AT36" s="106" t="str">
        <f>IF(AO36&lt;&gt;"",'Νέα ΦΣ'!N28,"")</f>
        <v/>
      </c>
      <c r="AU36" s="106" t="str">
        <f>IF(AO36&lt;&gt;"",Υπολογισμοί!J31,"")</f>
        <v/>
      </c>
      <c r="AW36" s="113" t="str">
        <f>IF(Βραχίονες!C31&lt;&gt;"",Βραχίονες!F31+Βραχίονες!G31,"")</f>
        <v/>
      </c>
      <c r="AX36" s="106" t="str">
        <f>IF(Βραχίονες!C31&lt;&gt;"",Υπολογισμοί!K31,"")</f>
        <v/>
      </c>
      <c r="AY36" s="106" t="str">
        <f>IF(Βραχίονες!C31&lt;&gt;"",Υπολογισμοί!L31,"")</f>
        <v/>
      </c>
      <c r="AZ36" s="106" t="str">
        <f>IF(Βραχίονες!C31&lt;&gt;"",Υπολογισμοί!K31+Υπολογισμοί!L31,"")</f>
        <v/>
      </c>
    </row>
    <row r="37" spans="1:52" x14ac:dyDescent="0.15">
      <c r="A37" s="105" t="str">
        <f>IF('Συμβατικά ΦΣ'!B28&lt;&gt;"",'Συμβατικά ΦΣ'!C28,"")</f>
        <v/>
      </c>
      <c r="B37" s="103" t="str">
        <f>IF('Συμβατικά ΦΣ'!B28&lt;&gt;"",'Συμβατικά ΦΣ'!I28,"")</f>
        <v/>
      </c>
      <c r="C37" s="106" t="str">
        <f>IF('Συμβατικά ΦΣ'!B28&lt;&gt;"",'Συμβατικά ΦΣ'!J28,"")</f>
        <v/>
      </c>
      <c r="D37" s="107" t="str">
        <f>IF('Συμβατικά ΦΣ'!B28&lt;&gt;"",'Συμβατικά ΦΣ'!L28,"")</f>
        <v/>
      </c>
      <c r="E37" s="103" t="str">
        <f>IF('Συμβατικά ΦΣ'!B28&lt;&gt;"",'Συμβατικά ΦΣ'!K28,"")</f>
        <v/>
      </c>
      <c r="G37" s="105" t="str">
        <f t="shared" si="2"/>
        <v/>
      </c>
      <c r="H37" s="102" t="str">
        <f t="shared" si="3"/>
        <v/>
      </c>
      <c r="I37" s="106" t="str">
        <f t="shared" si="4"/>
        <v/>
      </c>
      <c r="J37" s="107" t="str">
        <f t="shared" si="5"/>
        <v/>
      </c>
      <c r="K37" s="107" t="str">
        <f t="shared" si="6"/>
        <v/>
      </c>
      <c r="L37" s="106" t="str">
        <f>IF(G37&lt;&gt;"",'Γενικά Δεδομένα'!$I$6*365,"")</f>
        <v/>
      </c>
      <c r="M37" s="109" t="str">
        <f>IF(G37&lt;&gt;"",Υπολογισμοί!G32,"")</f>
        <v/>
      </c>
      <c r="N37" s="110" t="str">
        <f>IF(G37&lt;&gt;"",'Γενικά Δεδομένα'!$I$4,"")</f>
        <v/>
      </c>
      <c r="O37" s="109" t="str">
        <f>IF(G37&lt;&gt;"",M37*'Γενικά Δεδομένα'!$I$4,"")</f>
        <v/>
      </c>
      <c r="Q37" s="120" t="str">
        <f t="shared" si="20"/>
        <v/>
      </c>
      <c r="R37" s="121" t="str">
        <f t="shared" si="21"/>
        <v/>
      </c>
      <c r="S37" s="122" t="str">
        <f t="shared" si="22"/>
        <v/>
      </c>
      <c r="T37" s="123"/>
      <c r="U37" s="124" t="str">
        <f>IF(Q37&lt;&gt;"",'Νέα ΦΣ'!D29,"")</f>
        <v/>
      </c>
      <c r="V37" s="113" t="str">
        <f>IF(Q37&lt;&gt;"",'Νέα ΦΣ'!M29,"")</f>
        <v/>
      </c>
      <c r="W37" s="113" t="str">
        <f t="shared" si="23"/>
        <v/>
      </c>
      <c r="X37" s="113" t="str">
        <f>IF(Q37&lt;&gt;"",'Νέα ΦΣ'!O29,"")</f>
        <v/>
      </c>
      <c r="Y37" s="107" t="str">
        <f t="shared" si="24"/>
        <v/>
      </c>
      <c r="AA37" s="105" t="str">
        <f t="shared" si="25"/>
        <v/>
      </c>
      <c r="AB37" s="102" t="str">
        <f t="shared" si="26"/>
        <v/>
      </c>
      <c r="AC37" s="102" t="str">
        <f t="shared" si="27"/>
        <v/>
      </c>
      <c r="AD37" s="102" t="str">
        <f t="shared" si="28"/>
        <v/>
      </c>
      <c r="AE37" s="102" t="str">
        <f t="shared" si="29"/>
        <v/>
      </c>
      <c r="AF37" s="107" t="str">
        <f t="shared" si="30"/>
        <v/>
      </c>
      <c r="AG37" s="102" t="str">
        <f t="shared" si="31"/>
        <v/>
      </c>
      <c r="AH37" s="109" t="str">
        <f t="shared" si="32"/>
        <v/>
      </c>
      <c r="AI37" s="109" t="str">
        <f>IF(AA37&lt;&gt;"",Υπολογισμοί!H32,"")</f>
        <v/>
      </c>
      <c r="AJ37" s="111" t="str">
        <f>IF(AA37&lt;&gt;"",'Γενικά Δεδομένα'!$I$4,"")</f>
        <v/>
      </c>
      <c r="AK37" s="109" t="str">
        <f t="shared" si="33"/>
        <v/>
      </c>
      <c r="AO37" s="124" t="str">
        <f t="shared" si="16"/>
        <v/>
      </c>
      <c r="AP37" s="113" t="str">
        <f t="shared" si="17"/>
        <v/>
      </c>
      <c r="AQ37" s="113" t="str">
        <f t="shared" si="18"/>
        <v/>
      </c>
      <c r="AR37" s="113" t="str">
        <f t="shared" si="19"/>
        <v/>
      </c>
      <c r="AS37" s="107" t="str">
        <f>IF(AO37&lt;&gt;"",'Νέα ΦΣ'!I29+'Νέα ΦΣ'!J29,"")</f>
        <v/>
      </c>
      <c r="AT37" s="106" t="str">
        <f>IF(AO37&lt;&gt;"",'Νέα ΦΣ'!N29,"")</f>
        <v/>
      </c>
      <c r="AU37" s="106" t="str">
        <f>IF(AO37&lt;&gt;"",Υπολογισμοί!J32,"")</f>
        <v/>
      </c>
      <c r="AW37" s="113" t="str">
        <f>IF(Βραχίονες!C32&lt;&gt;"",Βραχίονες!F32+Βραχίονες!G32,"")</f>
        <v/>
      </c>
      <c r="AX37" s="106" t="str">
        <f>IF(Βραχίονες!C32&lt;&gt;"",Υπολογισμοί!K32,"")</f>
        <v/>
      </c>
      <c r="AY37" s="106" t="str">
        <f>IF(Βραχίονες!C32&lt;&gt;"",Υπολογισμοί!L32,"")</f>
        <v/>
      </c>
      <c r="AZ37" s="106" t="str">
        <f>IF(Βραχίονες!C32&lt;&gt;"",Υπολογισμοί!K32+Υπολογισμοί!L32,"")</f>
        <v/>
      </c>
    </row>
    <row r="38" spans="1:52" x14ac:dyDescent="0.15">
      <c r="A38" s="105" t="str">
        <f>IF('Συμβατικά ΦΣ'!B29&lt;&gt;"",'Συμβατικά ΦΣ'!C29,"")</f>
        <v/>
      </c>
      <c r="B38" s="103" t="str">
        <f>IF('Συμβατικά ΦΣ'!B29&lt;&gt;"",'Συμβατικά ΦΣ'!I29,"")</f>
        <v/>
      </c>
      <c r="C38" s="106" t="str">
        <f>IF('Συμβατικά ΦΣ'!B29&lt;&gt;"",'Συμβατικά ΦΣ'!J29,"")</f>
        <v/>
      </c>
      <c r="D38" s="107" t="str">
        <f>IF('Συμβατικά ΦΣ'!B29&lt;&gt;"",'Συμβατικά ΦΣ'!L29,"")</f>
        <v/>
      </c>
      <c r="E38" s="103" t="str">
        <f>IF('Συμβατικά ΦΣ'!B29&lt;&gt;"",'Συμβατικά ΦΣ'!K29,"")</f>
        <v/>
      </c>
      <c r="G38" s="105" t="str">
        <f t="shared" si="2"/>
        <v/>
      </c>
      <c r="H38" s="102" t="str">
        <f t="shared" si="3"/>
        <v/>
      </c>
      <c r="I38" s="106" t="str">
        <f t="shared" si="4"/>
        <v/>
      </c>
      <c r="J38" s="107" t="str">
        <f t="shared" si="5"/>
        <v/>
      </c>
      <c r="K38" s="107" t="str">
        <f t="shared" si="6"/>
        <v/>
      </c>
      <c r="L38" s="106" t="str">
        <f>IF(G38&lt;&gt;"",'Γενικά Δεδομένα'!$I$6*365,"")</f>
        <v/>
      </c>
      <c r="M38" s="109" t="str">
        <f>IF(G38&lt;&gt;"",Υπολογισμοί!G33,"")</f>
        <v/>
      </c>
      <c r="N38" s="110" t="str">
        <f>IF(G38&lt;&gt;"",'Γενικά Δεδομένα'!$I$4,"")</f>
        <v/>
      </c>
      <c r="O38" s="109" t="str">
        <f>IF(G38&lt;&gt;"",M38*'Γενικά Δεδομένα'!$I$4,"")</f>
        <v/>
      </c>
      <c r="Q38" s="120" t="str">
        <f t="shared" si="20"/>
        <v/>
      </c>
      <c r="R38" s="121" t="str">
        <f t="shared" si="21"/>
        <v/>
      </c>
      <c r="S38" s="122" t="str">
        <f t="shared" si="22"/>
        <v/>
      </c>
      <c r="T38" s="123"/>
      <c r="U38" s="124" t="str">
        <f>IF(Q38&lt;&gt;"",'Νέα ΦΣ'!D30,"")</f>
        <v/>
      </c>
      <c r="V38" s="113" t="str">
        <f>IF(Q38&lt;&gt;"",'Νέα ΦΣ'!M30,"")</f>
        <v/>
      </c>
      <c r="W38" s="113" t="str">
        <f t="shared" si="23"/>
        <v/>
      </c>
      <c r="X38" s="113" t="str">
        <f>IF(Q38&lt;&gt;"",'Νέα ΦΣ'!O30,"")</f>
        <v/>
      </c>
      <c r="Y38" s="107" t="str">
        <f t="shared" si="24"/>
        <v/>
      </c>
      <c r="AA38" s="105" t="str">
        <f t="shared" si="25"/>
        <v/>
      </c>
      <c r="AB38" s="102" t="str">
        <f t="shared" si="26"/>
        <v/>
      </c>
      <c r="AC38" s="102" t="str">
        <f t="shared" si="27"/>
        <v/>
      </c>
      <c r="AD38" s="102" t="str">
        <f t="shared" si="28"/>
        <v/>
      </c>
      <c r="AE38" s="102" t="str">
        <f t="shared" si="29"/>
        <v/>
      </c>
      <c r="AF38" s="107" t="str">
        <f t="shared" si="30"/>
        <v/>
      </c>
      <c r="AG38" s="102" t="str">
        <f t="shared" si="31"/>
        <v/>
      </c>
      <c r="AH38" s="109" t="str">
        <f t="shared" si="32"/>
        <v/>
      </c>
      <c r="AI38" s="109" t="str">
        <f>IF(AA38&lt;&gt;"",Υπολογισμοί!H33,"")</f>
        <v/>
      </c>
      <c r="AJ38" s="111" t="str">
        <f>IF(AA38&lt;&gt;"",'Γενικά Δεδομένα'!$I$4,"")</f>
        <v/>
      </c>
      <c r="AK38" s="109" t="str">
        <f t="shared" si="33"/>
        <v/>
      </c>
      <c r="AO38" s="124" t="str">
        <f t="shared" si="16"/>
        <v/>
      </c>
      <c r="AP38" s="113" t="str">
        <f t="shared" si="17"/>
        <v/>
      </c>
      <c r="AQ38" s="113" t="str">
        <f t="shared" si="18"/>
        <v/>
      </c>
      <c r="AR38" s="113" t="str">
        <f t="shared" si="19"/>
        <v/>
      </c>
      <c r="AS38" s="107" t="str">
        <f>IF(AO38&lt;&gt;"",'Νέα ΦΣ'!I30+'Νέα ΦΣ'!J30,"")</f>
        <v/>
      </c>
      <c r="AT38" s="106" t="str">
        <f>IF(AO38&lt;&gt;"",'Νέα ΦΣ'!N30,"")</f>
        <v/>
      </c>
      <c r="AU38" s="106" t="str">
        <f>IF(AO38&lt;&gt;"",Υπολογισμοί!J33,"")</f>
        <v/>
      </c>
      <c r="AW38" s="113" t="str">
        <f>IF(Βραχίονες!C33&lt;&gt;"",Βραχίονες!F33+Βραχίονες!G33,"")</f>
        <v/>
      </c>
      <c r="AX38" s="106" t="str">
        <f>IF(Βραχίονες!C33&lt;&gt;"",Υπολογισμοί!K33,"")</f>
        <v/>
      </c>
      <c r="AY38" s="106" t="str">
        <f>IF(Βραχίονες!C33&lt;&gt;"",Υπολογισμοί!L33,"")</f>
        <v/>
      </c>
      <c r="AZ38" s="106" t="str">
        <f>IF(Βραχίονες!C33&lt;&gt;"",Υπολογισμοί!K33+Υπολογισμοί!L33,"")</f>
        <v/>
      </c>
    </row>
    <row r="39" spans="1:52" x14ac:dyDescent="0.15">
      <c r="A39" s="105" t="str">
        <f>IF('Συμβατικά ΦΣ'!B30&lt;&gt;"",'Συμβατικά ΦΣ'!C30,"")</f>
        <v/>
      </c>
      <c r="B39" s="103" t="str">
        <f>IF('Συμβατικά ΦΣ'!B30&lt;&gt;"",'Συμβατικά ΦΣ'!I30,"")</f>
        <v/>
      </c>
      <c r="C39" s="106" t="str">
        <f>IF('Συμβατικά ΦΣ'!B30&lt;&gt;"",'Συμβατικά ΦΣ'!J30,"")</f>
        <v/>
      </c>
      <c r="D39" s="107" t="str">
        <f>IF('Συμβατικά ΦΣ'!B30&lt;&gt;"",'Συμβατικά ΦΣ'!L30,"")</f>
        <v/>
      </c>
      <c r="E39" s="103" t="str">
        <f>IF('Συμβατικά ΦΣ'!B30&lt;&gt;"",'Συμβατικά ΦΣ'!K30,"")</f>
        <v/>
      </c>
      <c r="G39" s="105" t="str">
        <f t="shared" si="2"/>
        <v/>
      </c>
      <c r="H39" s="102" t="str">
        <f t="shared" si="3"/>
        <v/>
      </c>
      <c r="I39" s="106" t="str">
        <f t="shared" si="4"/>
        <v/>
      </c>
      <c r="J39" s="107" t="str">
        <f t="shared" si="5"/>
        <v/>
      </c>
      <c r="K39" s="107" t="str">
        <f t="shared" si="6"/>
        <v/>
      </c>
      <c r="L39" s="106" t="str">
        <f>IF(G39&lt;&gt;"",'Γενικά Δεδομένα'!$I$6*365,"")</f>
        <v/>
      </c>
      <c r="M39" s="109" t="str">
        <f>IF(G39&lt;&gt;"",Υπολογισμοί!G34,"")</f>
        <v/>
      </c>
      <c r="N39" s="110" t="str">
        <f>IF(G39&lt;&gt;"",'Γενικά Δεδομένα'!$I$4,"")</f>
        <v/>
      </c>
      <c r="O39" s="109" t="str">
        <f>IF(G39&lt;&gt;"",M39*'Γενικά Δεδομένα'!$I$4,"")</f>
        <v/>
      </c>
      <c r="Q39" s="120" t="str">
        <f t="shared" si="20"/>
        <v/>
      </c>
      <c r="R39" s="121" t="str">
        <f t="shared" si="21"/>
        <v/>
      </c>
      <c r="S39" s="122" t="str">
        <f t="shared" si="22"/>
        <v/>
      </c>
      <c r="T39" s="123"/>
      <c r="U39" s="124" t="str">
        <f>IF(Q39&lt;&gt;"",'Νέα ΦΣ'!D31,"")</f>
        <v/>
      </c>
      <c r="V39" s="113" t="str">
        <f>IF(Q39&lt;&gt;"",'Νέα ΦΣ'!M31,"")</f>
        <v/>
      </c>
      <c r="W39" s="113" t="str">
        <f t="shared" si="23"/>
        <v/>
      </c>
      <c r="X39" s="113" t="str">
        <f>IF(Q39&lt;&gt;"",'Νέα ΦΣ'!O31,"")</f>
        <v/>
      </c>
      <c r="Y39" s="107" t="str">
        <f t="shared" si="24"/>
        <v/>
      </c>
      <c r="AA39" s="105" t="str">
        <f t="shared" si="25"/>
        <v/>
      </c>
      <c r="AB39" s="102" t="str">
        <f t="shared" si="26"/>
        <v/>
      </c>
      <c r="AC39" s="102" t="str">
        <f t="shared" si="27"/>
        <v/>
      </c>
      <c r="AD39" s="102" t="str">
        <f t="shared" si="28"/>
        <v/>
      </c>
      <c r="AE39" s="102" t="str">
        <f t="shared" si="29"/>
        <v/>
      </c>
      <c r="AF39" s="107" t="str">
        <f t="shared" si="30"/>
        <v/>
      </c>
      <c r="AG39" s="102" t="str">
        <f t="shared" si="31"/>
        <v/>
      </c>
      <c r="AH39" s="109" t="str">
        <f t="shared" si="32"/>
        <v/>
      </c>
      <c r="AI39" s="109" t="str">
        <f>IF(AA39&lt;&gt;"",Υπολογισμοί!H34,"")</f>
        <v/>
      </c>
      <c r="AJ39" s="111" t="str">
        <f>IF(AA39&lt;&gt;"",'Γενικά Δεδομένα'!$I$4,"")</f>
        <v/>
      </c>
      <c r="AK39" s="109" t="str">
        <f t="shared" si="33"/>
        <v/>
      </c>
      <c r="AO39" s="124" t="str">
        <f t="shared" si="16"/>
        <v/>
      </c>
      <c r="AP39" s="113" t="str">
        <f t="shared" si="17"/>
        <v/>
      </c>
      <c r="AQ39" s="113" t="str">
        <f t="shared" si="18"/>
        <v/>
      </c>
      <c r="AR39" s="113" t="str">
        <f t="shared" si="19"/>
        <v/>
      </c>
      <c r="AS39" s="107" t="str">
        <f>IF(AO39&lt;&gt;"",'Νέα ΦΣ'!I31+'Νέα ΦΣ'!J31,"")</f>
        <v/>
      </c>
      <c r="AT39" s="106" t="str">
        <f>IF(AO39&lt;&gt;"",'Νέα ΦΣ'!N31,"")</f>
        <v/>
      </c>
      <c r="AU39" s="106" t="str">
        <f>IF(AO39&lt;&gt;"",Υπολογισμοί!J34,"")</f>
        <v/>
      </c>
      <c r="AW39" s="113" t="str">
        <f>IF(Βραχίονες!C34&lt;&gt;"",Βραχίονες!F34+Βραχίονες!G34,"")</f>
        <v/>
      </c>
      <c r="AX39" s="106" t="str">
        <f>IF(Βραχίονες!C34&lt;&gt;"",Υπολογισμοί!K34,"")</f>
        <v/>
      </c>
      <c r="AY39" s="106" t="str">
        <f>IF(Βραχίονες!C34&lt;&gt;"",Υπολογισμοί!L34,"")</f>
        <v/>
      </c>
      <c r="AZ39" s="106" t="str">
        <f>IF(Βραχίονες!C34&lt;&gt;"",Υπολογισμοί!K34+Υπολογισμοί!L34,"")</f>
        <v/>
      </c>
    </row>
    <row r="40" spans="1:52" x14ac:dyDescent="0.15">
      <c r="A40" s="105" t="str">
        <f>IF('Συμβατικά ΦΣ'!B31&lt;&gt;"",'Συμβατικά ΦΣ'!C31,"")</f>
        <v/>
      </c>
      <c r="B40" s="103" t="str">
        <f>IF('Συμβατικά ΦΣ'!B31&lt;&gt;"",'Συμβατικά ΦΣ'!I31,"")</f>
        <v/>
      </c>
      <c r="C40" s="106" t="str">
        <f>IF('Συμβατικά ΦΣ'!B31&lt;&gt;"",'Συμβατικά ΦΣ'!J31,"")</f>
        <v/>
      </c>
      <c r="D40" s="107" t="str">
        <f>IF('Συμβατικά ΦΣ'!B31&lt;&gt;"",'Συμβατικά ΦΣ'!L31,"")</f>
        <v/>
      </c>
      <c r="E40" s="103" t="str">
        <f>IF('Συμβατικά ΦΣ'!B31&lt;&gt;"",'Συμβατικά ΦΣ'!K31,"")</f>
        <v/>
      </c>
      <c r="G40" s="105" t="str">
        <f t="shared" si="2"/>
        <v/>
      </c>
      <c r="H40" s="102" t="str">
        <f t="shared" si="3"/>
        <v/>
      </c>
      <c r="I40" s="106" t="str">
        <f t="shared" si="4"/>
        <v/>
      </c>
      <c r="J40" s="107" t="str">
        <f t="shared" si="5"/>
        <v/>
      </c>
      <c r="K40" s="107" t="str">
        <f t="shared" si="6"/>
        <v/>
      </c>
      <c r="L40" s="106" t="str">
        <f>IF(G40&lt;&gt;"",'Γενικά Δεδομένα'!$I$6*365,"")</f>
        <v/>
      </c>
      <c r="M40" s="109" t="str">
        <f>IF(G40&lt;&gt;"",Υπολογισμοί!G35,"")</f>
        <v/>
      </c>
      <c r="N40" s="110" t="str">
        <f>IF(G40&lt;&gt;"",'Γενικά Δεδομένα'!$I$4,"")</f>
        <v/>
      </c>
      <c r="O40" s="109" t="str">
        <f>IF(G40&lt;&gt;"",M40*'Γενικά Δεδομένα'!$I$4,"")</f>
        <v/>
      </c>
      <c r="Q40" s="120" t="str">
        <f t="shared" si="20"/>
        <v/>
      </c>
      <c r="R40" s="121" t="str">
        <f t="shared" si="21"/>
        <v/>
      </c>
      <c r="S40" s="122" t="str">
        <f t="shared" si="22"/>
        <v/>
      </c>
      <c r="T40" s="123"/>
      <c r="U40" s="124" t="str">
        <f>IF(Q40&lt;&gt;"",'Νέα ΦΣ'!D32,"")</f>
        <v/>
      </c>
      <c r="V40" s="113" t="str">
        <f>IF(Q40&lt;&gt;"",'Νέα ΦΣ'!M32,"")</f>
        <v/>
      </c>
      <c r="W40" s="113" t="str">
        <f t="shared" si="23"/>
        <v/>
      </c>
      <c r="X40" s="113" t="str">
        <f>IF(Q40&lt;&gt;"",'Νέα ΦΣ'!O32,"")</f>
        <v/>
      </c>
      <c r="Y40" s="107" t="str">
        <f t="shared" si="24"/>
        <v/>
      </c>
      <c r="AA40" s="105" t="str">
        <f t="shared" si="25"/>
        <v/>
      </c>
      <c r="AB40" s="102" t="str">
        <f t="shared" si="26"/>
        <v/>
      </c>
      <c r="AC40" s="102" t="str">
        <f t="shared" si="27"/>
        <v/>
      </c>
      <c r="AD40" s="102" t="str">
        <f t="shared" si="28"/>
        <v/>
      </c>
      <c r="AE40" s="102" t="str">
        <f t="shared" si="29"/>
        <v/>
      </c>
      <c r="AF40" s="107" t="str">
        <f t="shared" si="30"/>
        <v/>
      </c>
      <c r="AG40" s="102" t="str">
        <f t="shared" si="31"/>
        <v/>
      </c>
      <c r="AH40" s="109" t="str">
        <f t="shared" si="32"/>
        <v/>
      </c>
      <c r="AI40" s="109" t="str">
        <f>IF(AA40&lt;&gt;"",Υπολογισμοί!H35,"")</f>
        <v/>
      </c>
      <c r="AJ40" s="111" t="str">
        <f>IF(AA40&lt;&gt;"",'Γενικά Δεδομένα'!$I$4,"")</f>
        <v/>
      </c>
      <c r="AK40" s="109" t="str">
        <f t="shared" si="33"/>
        <v/>
      </c>
      <c r="AO40" s="124" t="str">
        <f t="shared" si="16"/>
        <v/>
      </c>
      <c r="AP40" s="113" t="str">
        <f t="shared" si="17"/>
        <v/>
      </c>
      <c r="AQ40" s="113" t="str">
        <f t="shared" si="18"/>
        <v/>
      </c>
      <c r="AR40" s="113" t="str">
        <f t="shared" si="19"/>
        <v/>
      </c>
      <c r="AS40" s="107" t="str">
        <f>IF(AO40&lt;&gt;"",'Νέα ΦΣ'!I32+'Νέα ΦΣ'!J32,"")</f>
        <v/>
      </c>
      <c r="AT40" s="106" t="str">
        <f>IF(AO40&lt;&gt;"",'Νέα ΦΣ'!N32,"")</f>
        <v/>
      </c>
      <c r="AU40" s="106" t="str">
        <f>IF(AO40&lt;&gt;"",Υπολογισμοί!J35,"")</f>
        <v/>
      </c>
    </row>
    <row r="41" spans="1:52" x14ac:dyDescent="0.15">
      <c r="A41" s="105" t="str">
        <f>IF('Συμβατικά ΦΣ'!B32&lt;&gt;"",'Συμβατικά ΦΣ'!C32,"")</f>
        <v/>
      </c>
      <c r="B41" s="103" t="str">
        <f>IF('Συμβατικά ΦΣ'!B32&lt;&gt;"",'Συμβατικά ΦΣ'!I32,"")</f>
        <v/>
      </c>
      <c r="C41" s="106" t="str">
        <f>IF('Συμβατικά ΦΣ'!B32&lt;&gt;"",'Συμβατικά ΦΣ'!J32,"")</f>
        <v/>
      </c>
      <c r="D41" s="107" t="str">
        <f>IF('Συμβατικά ΦΣ'!B32&lt;&gt;"",'Συμβατικά ΦΣ'!L32,"")</f>
        <v/>
      </c>
      <c r="E41" s="103" t="str">
        <f>IF('Συμβατικά ΦΣ'!B32&lt;&gt;"",'Συμβατικά ΦΣ'!K32,"")</f>
        <v/>
      </c>
      <c r="G41" s="105" t="str">
        <f t="shared" si="2"/>
        <v/>
      </c>
      <c r="H41" s="102" t="str">
        <f t="shared" si="3"/>
        <v/>
      </c>
      <c r="I41" s="106" t="str">
        <f t="shared" si="4"/>
        <v/>
      </c>
      <c r="J41" s="107" t="str">
        <f t="shared" si="5"/>
        <v/>
      </c>
      <c r="K41" s="107" t="str">
        <f t="shared" si="6"/>
        <v/>
      </c>
      <c r="L41" s="106" t="str">
        <f>IF(G41&lt;&gt;"",'Γενικά Δεδομένα'!$I$6*365,"")</f>
        <v/>
      </c>
      <c r="M41" s="109" t="str">
        <f>IF(G41&lt;&gt;"",Υπολογισμοί!G36,"")</f>
        <v/>
      </c>
      <c r="N41" s="110" t="str">
        <f>IF(G41&lt;&gt;"",'Γενικά Δεδομένα'!$I$4,"")</f>
        <v/>
      </c>
      <c r="O41" s="109" t="str">
        <f>IF(G41&lt;&gt;"",M41*'Γενικά Δεδομένα'!$I$4,"")</f>
        <v/>
      </c>
      <c r="Q41" s="120" t="str">
        <f t="shared" si="20"/>
        <v/>
      </c>
      <c r="R41" s="121" t="str">
        <f t="shared" si="21"/>
        <v/>
      </c>
      <c r="S41" s="122" t="str">
        <f t="shared" si="22"/>
        <v/>
      </c>
      <c r="T41" s="123"/>
      <c r="U41" s="124" t="str">
        <f>IF(Q41&lt;&gt;"",'Νέα ΦΣ'!D33,"")</f>
        <v/>
      </c>
      <c r="V41" s="113" t="str">
        <f>IF(Q41&lt;&gt;"",'Νέα ΦΣ'!M33,"")</f>
        <v/>
      </c>
      <c r="W41" s="113" t="str">
        <f t="shared" si="23"/>
        <v/>
      </c>
      <c r="X41" s="113" t="str">
        <f>IF(Q41&lt;&gt;"",'Νέα ΦΣ'!O33,"")</f>
        <v/>
      </c>
      <c r="Y41" s="107" t="str">
        <f t="shared" si="24"/>
        <v/>
      </c>
      <c r="AA41" s="105" t="str">
        <f t="shared" si="25"/>
        <v/>
      </c>
      <c r="AB41" s="102" t="str">
        <f t="shared" si="26"/>
        <v/>
      </c>
      <c r="AC41" s="102" t="str">
        <f t="shared" si="27"/>
        <v/>
      </c>
      <c r="AD41" s="102" t="str">
        <f t="shared" si="28"/>
        <v/>
      </c>
      <c r="AE41" s="102" t="str">
        <f t="shared" si="29"/>
        <v/>
      </c>
      <c r="AF41" s="107" t="str">
        <f t="shared" si="30"/>
        <v/>
      </c>
      <c r="AG41" s="102" t="str">
        <f t="shared" si="31"/>
        <v/>
      </c>
      <c r="AH41" s="109" t="str">
        <f t="shared" si="32"/>
        <v/>
      </c>
      <c r="AI41" s="109" t="str">
        <f>IF(AA41&lt;&gt;"",Υπολογισμοί!H36,"")</f>
        <v/>
      </c>
      <c r="AJ41" s="111" t="str">
        <f>IF(AA41&lt;&gt;"",'Γενικά Δεδομένα'!$I$4,"")</f>
        <v/>
      </c>
      <c r="AK41" s="109" t="str">
        <f t="shared" si="33"/>
        <v/>
      </c>
      <c r="AO41" s="124" t="str">
        <f t="shared" si="16"/>
        <v/>
      </c>
      <c r="AP41" s="113" t="str">
        <f t="shared" si="17"/>
        <v/>
      </c>
      <c r="AQ41" s="113" t="str">
        <f t="shared" si="18"/>
        <v/>
      </c>
      <c r="AR41" s="113" t="str">
        <f t="shared" si="19"/>
        <v/>
      </c>
      <c r="AS41" s="107" t="str">
        <f>IF(AO41&lt;&gt;"",'Νέα ΦΣ'!I33+'Νέα ΦΣ'!J33,"")</f>
        <v/>
      </c>
      <c r="AT41" s="106" t="str">
        <f>IF(AO41&lt;&gt;"",'Νέα ΦΣ'!N33,"")</f>
        <v/>
      </c>
      <c r="AU41" s="106" t="str">
        <f>IF(AO41&lt;&gt;"",Υπολογισμοί!J36,"")</f>
        <v/>
      </c>
    </row>
    <row r="42" spans="1:52" x14ac:dyDescent="0.15">
      <c r="A42" s="105" t="str">
        <f>IF('Συμβατικά ΦΣ'!B33&lt;&gt;"",'Συμβατικά ΦΣ'!C33,"")</f>
        <v/>
      </c>
      <c r="B42" s="103" t="str">
        <f>IF('Συμβατικά ΦΣ'!B33&lt;&gt;"",'Συμβατικά ΦΣ'!I33,"")</f>
        <v/>
      </c>
      <c r="C42" s="106" t="str">
        <f>IF('Συμβατικά ΦΣ'!B33&lt;&gt;"",'Συμβατικά ΦΣ'!J33,"")</f>
        <v/>
      </c>
      <c r="D42" s="107" t="str">
        <f>IF('Συμβατικά ΦΣ'!B33&lt;&gt;"",'Συμβατικά ΦΣ'!L33,"")</f>
        <v/>
      </c>
      <c r="E42" s="103" t="str">
        <f>IF('Συμβατικά ΦΣ'!B33&lt;&gt;"",'Συμβατικά ΦΣ'!K33,"")</f>
        <v/>
      </c>
      <c r="G42" s="105" t="str">
        <f t="shared" si="2"/>
        <v/>
      </c>
      <c r="H42" s="102" t="str">
        <f t="shared" si="3"/>
        <v/>
      </c>
      <c r="I42" s="106" t="str">
        <f t="shared" si="4"/>
        <v/>
      </c>
      <c r="J42" s="107" t="str">
        <f t="shared" si="5"/>
        <v/>
      </c>
      <c r="K42" s="107" t="str">
        <f t="shared" si="6"/>
        <v/>
      </c>
      <c r="L42" s="106" t="str">
        <f>IF(G42&lt;&gt;"",'Γενικά Δεδομένα'!$I$6*365,"")</f>
        <v/>
      </c>
      <c r="M42" s="109" t="str">
        <f>IF(G42&lt;&gt;"",Υπολογισμοί!G37,"")</f>
        <v/>
      </c>
      <c r="N42" s="110" t="str">
        <f>IF(G42&lt;&gt;"",'Γενικά Δεδομένα'!$I$4,"")</f>
        <v/>
      </c>
      <c r="O42" s="109" t="str">
        <f>IF(G42&lt;&gt;"",M42*'Γενικά Δεδομένα'!$I$4,"")</f>
        <v/>
      </c>
      <c r="Q42" s="120" t="str">
        <f t="shared" si="20"/>
        <v/>
      </c>
      <c r="R42" s="121" t="str">
        <f t="shared" si="21"/>
        <v/>
      </c>
      <c r="S42" s="122" t="str">
        <f t="shared" si="22"/>
        <v/>
      </c>
      <c r="T42" s="123"/>
      <c r="U42" s="124" t="str">
        <f>IF(Q42&lt;&gt;"",'Νέα ΦΣ'!D34,"")</f>
        <v/>
      </c>
      <c r="V42" s="113" t="str">
        <f>IF(Q42&lt;&gt;"",'Νέα ΦΣ'!M34,"")</f>
        <v/>
      </c>
      <c r="W42" s="113" t="str">
        <f t="shared" si="23"/>
        <v/>
      </c>
      <c r="X42" s="113" t="str">
        <f>IF(Q42&lt;&gt;"",'Νέα ΦΣ'!O34,"")</f>
        <v/>
      </c>
      <c r="Y42" s="107" t="str">
        <f t="shared" si="24"/>
        <v/>
      </c>
      <c r="AA42" s="105" t="str">
        <f t="shared" si="25"/>
        <v/>
      </c>
      <c r="AB42" s="102" t="str">
        <f t="shared" si="26"/>
        <v/>
      </c>
      <c r="AC42" s="102" t="str">
        <f t="shared" si="27"/>
        <v/>
      </c>
      <c r="AD42" s="102" t="str">
        <f t="shared" si="28"/>
        <v/>
      </c>
      <c r="AE42" s="102" t="str">
        <f t="shared" si="29"/>
        <v/>
      </c>
      <c r="AF42" s="107" t="str">
        <f t="shared" si="30"/>
        <v/>
      </c>
      <c r="AG42" s="102" t="str">
        <f t="shared" si="31"/>
        <v/>
      </c>
      <c r="AH42" s="109" t="str">
        <f t="shared" si="32"/>
        <v/>
      </c>
      <c r="AI42" s="109" t="str">
        <f>IF(AA42&lt;&gt;"",Υπολογισμοί!H37,"")</f>
        <v/>
      </c>
      <c r="AJ42" s="111" t="str">
        <f>IF(AA42&lt;&gt;"",'Γενικά Δεδομένα'!$I$4,"")</f>
        <v/>
      </c>
      <c r="AK42" s="109" t="str">
        <f t="shared" si="33"/>
        <v/>
      </c>
      <c r="AO42" s="124" t="str">
        <f t="shared" si="16"/>
        <v/>
      </c>
      <c r="AP42" s="113" t="str">
        <f t="shared" si="17"/>
        <v/>
      </c>
      <c r="AQ42" s="113" t="str">
        <f t="shared" si="18"/>
        <v/>
      </c>
      <c r="AR42" s="113" t="str">
        <f t="shared" si="19"/>
        <v/>
      </c>
      <c r="AS42" s="107" t="str">
        <f>IF(AO42&lt;&gt;"",'Νέα ΦΣ'!I34+'Νέα ΦΣ'!J34,"")</f>
        <v/>
      </c>
      <c r="AT42" s="106" t="str">
        <f>IF(AO42&lt;&gt;"",'Νέα ΦΣ'!N34,"")</f>
        <v/>
      </c>
      <c r="AU42" s="106" t="str">
        <f>IF(AO42&lt;&gt;"",Υπολογισμοί!J37,"")</f>
        <v/>
      </c>
    </row>
    <row r="43" spans="1:52" x14ac:dyDescent="0.15">
      <c r="A43" s="105" t="str">
        <f>IF('Συμβατικά ΦΣ'!B34&lt;&gt;"",'Συμβατικά ΦΣ'!C34,"")</f>
        <v/>
      </c>
      <c r="B43" s="103" t="str">
        <f>IF('Συμβατικά ΦΣ'!B34&lt;&gt;"",'Συμβατικά ΦΣ'!I34,"")</f>
        <v/>
      </c>
      <c r="C43" s="106" t="str">
        <f>IF('Συμβατικά ΦΣ'!B34&lt;&gt;"",'Συμβατικά ΦΣ'!J34,"")</f>
        <v/>
      </c>
      <c r="D43" s="107" t="str">
        <f>IF('Συμβατικά ΦΣ'!B34&lt;&gt;"",'Συμβατικά ΦΣ'!L34,"")</f>
        <v/>
      </c>
      <c r="E43" s="103" t="str">
        <f>IF('Συμβατικά ΦΣ'!B34&lt;&gt;"",'Συμβατικά ΦΣ'!K34,"")</f>
        <v/>
      </c>
      <c r="G43" s="105" t="str">
        <f t="shared" si="2"/>
        <v/>
      </c>
      <c r="H43" s="102" t="str">
        <f t="shared" si="3"/>
        <v/>
      </c>
      <c r="I43" s="106" t="str">
        <f t="shared" si="4"/>
        <v/>
      </c>
      <c r="J43" s="107" t="str">
        <f t="shared" si="5"/>
        <v/>
      </c>
      <c r="K43" s="107" t="str">
        <f t="shared" si="6"/>
        <v/>
      </c>
      <c r="L43" s="106" t="str">
        <f>IF(G43&lt;&gt;"",'Γενικά Δεδομένα'!$I$6*365,"")</f>
        <v/>
      </c>
      <c r="M43" s="109" t="str">
        <f>IF(G43&lt;&gt;"",Υπολογισμοί!G38,"")</f>
        <v/>
      </c>
      <c r="N43" s="110" t="str">
        <f>IF(G43&lt;&gt;"",'Γενικά Δεδομένα'!$I$4,"")</f>
        <v/>
      </c>
      <c r="O43" s="109" t="str">
        <f>IF(G43&lt;&gt;"",M43*'Γενικά Δεδομένα'!$I$4,"")</f>
        <v/>
      </c>
      <c r="Q43" s="120" t="str">
        <f t="shared" si="20"/>
        <v/>
      </c>
      <c r="R43" s="121" t="str">
        <f t="shared" si="21"/>
        <v/>
      </c>
      <c r="S43" s="122" t="str">
        <f t="shared" si="22"/>
        <v/>
      </c>
      <c r="T43" s="123"/>
      <c r="U43" s="124" t="str">
        <f>IF(Q43&lt;&gt;"",'Νέα ΦΣ'!D35,"")</f>
        <v/>
      </c>
      <c r="V43" s="113" t="str">
        <f>IF(Q43&lt;&gt;"",'Νέα ΦΣ'!M35,"")</f>
        <v/>
      </c>
      <c r="W43" s="113" t="str">
        <f t="shared" si="23"/>
        <v/>
      </c>
      <c r="X43" s="113" t="str">
        <f>IF(Q43&lt;&gt;"",'Νέα ΦΣ'!O35,"")</f>
        <v/>
      </c>
      <c r="Y43" s="107" t="str">
        <f t="shared" si="24"/>
        <v/>
      </c>
      <c r="AA43" s="105" t="str">
        <f t="shared" si="25"/>
        <v/>
      </c>
      <c r="AB43" s="102" t="str">
        <f t="shared" si="26"/>
        <v/>
      </c>
      <c r="AC43" s="102" t="str">
        <f t="shared" si="27"/>
        <v/>
      </c>
      <c r="AD43" s="102" t="str">
        <f t="shared" si="28"/>
        <v/>
      </c>
      <c r="AE43" s="102" t="str">
        <f t="shared" si="29"/>
        <v/>
      </c>
      <c r="AF43" s="107" t="str">
        <f t="shared" si="30"/>
        <v/>
      </c>
      <c r="AG43" s="102" t="str">
        <f t="shared" si="31"/>
        <v/>
      </c>
      <c r="AH43" s="109" t="str">
        <f t="shared" si="32"/>
        <v/>
      </c>
      <c r="AI43" s="109" t="str">
        <f>IF(AA43&lt;&gt;"",Υπολογισμοί!H38,"")</f>
        <v/>
      </c>
      <c r="AJ43" s="111" t="str">
        <f>IF(AA43&lt;&gt;"",'Γενικά Δεδομένα'!$I$4,"")</f>
        <v/>
      </c>
      <c r="AK43" s="109" t="str">
        <f t="shared" si="33"/>
        <v/>
      </c>
      <c r="AO43" s="124" t="str">
        <f t="shared" si="16"/>
        <v/>
      </c>
      <c r="AP43" s="113" t="str">
        <f t="shared" si="17"/>
        <v/>
      </c>
      <c r="AQ43" s="113" t="str">
        <f t="shared" si="18"/>
        <v/>
      </c>
      <c r="AR43" s="113" t="str">
        <f t="shared" si="19"/>
        <v/>
      </c>
      <c r="AS43" s="107" t="str">
        <f>IF(AO43&lt;&gt;"",'Νέα ΦΣ'!I35+'Νέα ΦΣ'!J35,"")</f>
        <v/>
      </c>
      <c r="AT43" s="106" t="str">
        <f>IF(AO43&lt;&gt;"",'Νέα ΦΣ'!N35,"")</f>
        <v/>
      </c>
      <c r="AU43" s="106" t="str">
        <f>IF(AO43&lt;&gt;"",Υπολογισμοί!J38,"")</f>
        <v/>
      </c>
    </row>
    <row r="44" spans="1:52" x14ac:dyDescent="0.15">
      <c r="A44" s="105" t="str">
        <f>IF('Συμβατικά ΦΣ'!B35&lt;&gt;"",'Συμβατικά ΦΣ'!C35,"")</f>
        <v/>
      </c>
      <c r="B44" s="103" t="str">
        <f>IF('Συμβατικά ΦΣ'!B35&lt;&gt;"",'Συμβατικά ΦΣ'!I35,"")</f>
        <v/>
      </c>
      <c r="C44" s="106" t="str">
        <f>IF('Συμβατικά ΦΣ'!B35&lt;&gt;"",'Συμβατικά ΦΣ'!J35,"")</f>
        <v/>
      </c>
      <c r="D44" s="107" t="str">
        <f>IF('Συμβατικά ΦΣ'!B35&lt;&gt;"",'Συμβατικά ΦΣ'!L35,"")</f>
        <v/>
      </c>
      <c r="E44" s="103" t="str">
        <f>IF('Συμβατικά ΦΣ'!B35&lt;&gt;"",'Συμβατικά ΦΣ'!K35,"")</f>
        <v/>
      </c>
      <c r="G44" s="105" t="str">
        <f t="shared" si="2"/>
        <v/>
      </c>
      <c r="H44" s="102" t="str">
        <f t="shared" si="3"/>
        <v/>
      </c>
      <c r="I44" s="106" t="str">
        <f t="shared" si="4"/>
        <v/>
      </c>
      <c r="J44" s="107" t="str">
        <f t="shared" si="5"/>
        <v/>
      </c>
      <c r="K44" s="107" t="str">
        <f t="shared" si="6"/>
        <v/>
      </c>
      <c r="L44" s="106" t="str">
        <f>IF(G44&lt;&gt;"",'Γενικά Δεδομένα'!$I$6*365,"")</f>
        <v/>
      </c>
      <c r="M44" s="109" t="str">
        <f>IF(G44&lt;&gt;"",Υπολογισμοί!G39,"")</f>
        <v/>
      </c>
      <c r="N44" s="110" t="str">
        <f>IF(G44&lt;&gt;"",'Γενικά Δεδομένα'!$I$4,"")</f>
        <v/>
      </c>
      <c r="O44" s="109" t="str">
        <f>IF(G44&lt;&gt;"",M44*'Γενικά Δεδομένα'!$I$4,"")</f>
        <v/>
      </c>
      <c r="Q44" s="120" t="str">
        <f t="shared" si="20"/>
        <v/>
      </c>
      <c r="R44" s="121" t="str">
        <f t="shared" si="21"/>
        <v/>
      </c>
      <c r="S44" s="122" t="str">
        <f t="shared" si="22"/>
        <v/>
      </c>
      <c r="T44" s="123"/>
      <c r="U44" s="124" t="str">
        <f>IF(Q44&lt;&gt;"",'Νέα ΦΣ'!D36,"")</f>
        <v/>
      </c>
      <c r="V44" s="113" t="str">
        <f>IF(Q44&lt;&gt;"",'Νέα ΦΣ'!M36,"")</f>
        <v/>
      </c>
      <c r="W44" s="113" t="str">
        <f t="shared" si="23"/>
        <v/>
      </c>
      <c r="X44" s="113" t="str">
        <f>IF(Q44&lt;&gt;"",'Νέα ΦΣ'!O36,"")</f>
        <v/>
      </c>
      <c r="Y44" s="107" t="str">
        <f t="shared" si="24"/>
        <v/>
      </c>
      <c r="AA44" s="105" t="str">
        <f t="shared" si="25"/>
        <v/>
      </c>
      <c r="AB44" s="102" t="str">
        <f t="shared" si="26"/>
        <v/>
      </c>
      <c r="AC44" s="102" t="str">
        <f t="shared" si="27"/>
        <v/>
      </c>
      <c r="AD44" s="102" t="str">
        <f t="shared" si="28"/>
        <v/>
      </c>
      <c r="AE44" s="102" t="str">
        <f t="shared" si="29"/>
        <v/>
      </c>
      <c r="AF44" s="107" t="str">
        <f t="shared" si="30"/>
        <v/>
      </c>
      <c r="AG44" s="102" t="str">
        <f t="shared" si="31"/>
        <v/>
      </c>
      <c r="AH44" s="109" t="str">
        <f t="shared" si="32"/>
        <v/>
      </c>
      <c r="AI44" s="109" t="str">
        <f>IF(AA44&lt;&gt;"",Υπολογισμοί!H39,"")</f>
        <v/>
      </c>
      <c r="AJ44" s="111" t="str">
        <f>IF(AA44&lt;&gt;"",'Γενικά Δεδομένα'!$I$4,"")</f>
        <v/>
      </c>
      <c r="AK44" s="109" t="str">
        <f t="shared" si="33"/>
        <v/>
      </c>
      <c r="AO44" s="124" t="str">
        <f t="shared" si="16"/>
        <v/>
      </c>
      <c r="AP44" s="113" t="str">
        <f t="shared" si="17"/>
        <v/>
      </c>
      <c r="AQ44" s="113" t="str">
        <f t="shared" si="18"/>
        <v/>
      </c>
      <c r="AR44" s="113" t="str">
        <f t="shared" si="19"/>
        <v/>
      </c>
      <c r="AS44" s="107" t="str">
        <f>IF(AO44&lt;&gt;"",'Νέα ΦΣ'!I36+'Νέα ΦΣ'!J36,"")</f>
        <v/>
      </c>
      <c r="AT44" s="106" t="str">
        <f>IF(AO44&lt;&gt;"",'Νέα ΦΣ'!N36,"")</f>
        <v/>
      </c>
      <c r="AU44" s="106" t="str">
        <f>IF(AO44&lt;&gt;"",Υπολογισμοί!J39,"")</f>
        <v/>
      </c>
    </row>
    <row r="45" spans="1:52" x14ac:dyDescent="0.15">
      <c r="A45" s="105" t="str">
        <f>IF('Συμβατικά ΦΣ'!B36&lt;&gt;"",'Συμβατικά ΦΣ'!C36,"")</f>
        <v/>
      </c>
      <c r="B45" s="103" t="str">
        <f>IF('Συμβατικά ΦΣ'!B36&lt;&gt;"",'Συμβατικά ΦΣ'!I36,"")</f>
        <v/>
      </c>
      <c r="C45" s="106" t="str">
        <f>IF('Συμβατικά ΦΣ'!B36&lt;&gt;"",'Συμβατικά ΦΣ'!J36,"")</f>
        <v/>
      </c>
      <c r="D45" s="107" t="str">
        <f>IF('Συμβατικά ΦΣ'!B36&lt;&gt;"",'Συμβατικά ΦΣ'!L36,"")</f>
        <v/>
      </c>
      <c r="E45" s="103" t="str">
        <f>IF('Συμβατικά ΦΣ'!B36&lt;&gt;"",'Συμβατικά ΦΣ'!K36,"")</f>
        <v/>
      </c>
      <c r="G45" s="105" t="str">
        <f t="shared" si="2"/>
        <v/>
      </c>
      <c r="H45" s="102" t="str">
        <f t="shared" si="3"/>
        <v/>
      </c>
      <c r="I45" s="106" t="str">
        <f t="shared" si="4"/>
        <v/>
      </c>
      <c r="J45" s="107" t="str">
        <f t="shared" si="5"/>
        <v/>
      </c>
      <c r="K45" s="107" t="str">
        <f t="shared" si="6"/>
        <v/>
      </c>
      <c r="L45" s="106" t="str">
        <f>IF(G45&lt;&gt;"",'Γενικά Δεδομένα'!$I$6*365,"")</f>
        <v/>
      </c>
      <c r="M45" s="109" t="str">
        <f>IF(G45&lt;&gt;"",Υπολογισμοί!G40,"")</f>
        <v/>
      </c>
      <c r="N45" s="110" t="str">
        <f>IF(G45&lt;&gt;"",'Γενικά Δεδομένα'!$I$4,"")</f>
        <v/>
      </c>
      <c r="O45" s="109" t="str">
        <f>IF(G45&lt;&gt;"",M45*'Γενικά Δεδομένα'!$I$4,"")</f>
        <v/>
      </c>
      <c r="Q45" s="120" t="str">
        <f t="shared" si="20"/>
        <v/>
      </c>
      <c r="R45" s="121" t="str">
        <f t="shared" si="21"/>
        <v/>
      </c>
      <c r="S45" s="122" t="str">
        <f t="shared" si="22"/>
        <v/>
      </c>
      <c r="T45" s="123"/>
      <c r="U45" s="124" t="str">
        <f>IF(Q45&lt;&gt;"",'Νέα ΦΣ'!D37,"")</f>
        <v/>
      </c>
      <c r="V45" s="113" t="str">
        <f>IF(Q45&lt;&gt;"",'Νέα ΦΣ'!M37,"")</f>
        <v/>
      </c>
      <c r="W45" s="113" t="str">
        <f t="shared" si="23"/>
        <v/>
      </c>
      <c r="X45" s="113" t="str">
        <f>IF(Q45&lt;&gt;"",'Νέα ΦΣ'!O37,"")</f>
        <v/>
      </c>
      <c r="Y45" s="107" t="str">
        <f t="shared" si="24"/>
        <v/>
      </c>
      <c r="AA45" s="105" t="str">
        <f t="shared" si="25"/>
        <v/>
      </c>
      <c r="AB45" s="102" t="str">
        <f t="shared" si="26"/>
        <v/>
      </c>
      <c r="AC45" s="102" t="str">
        <f t="shared" si="27"/>
        <v/>
      </c>
      <c r="AD45" s="102" t="str">
        <f t="shared" si="28"/>
        <v/>
      </c>
      <c r="AE45" s="102" t="str">
        <f t="shared" si="29"/>
        <v/>
      </c>
      <c r="AF45" s="107" t="str">
        <f t="shared" si="30"/>
        <v/>
      </c>
      <c r="AG45" s="102" t="str">
        <f t="shared" si="31"/>
        <v/>
      </c>
      <c r="AH45" s="109" t="str">
        <f t="shared" si="32"/>
        <v/>
      </c>
      <c r="AI45" s="109" t="str">
        <f>IF(AA45&lt;&gt;"",Υπολογισμοί!H40,"")</f>
        <v/>
      </c>
      <c r="AJ45" s="111" t="str">
        <f>IF(AA45&lt;&gt;"",'Γενικά Δεδομένα'!$I$4,"")</f>
        <v/>
      </c>
      <c r="AK45" s="109" t="str">
        <f t="shared" si="33"/>
        <v/>
      </c>
      <c r="AO45" s="124" t="str">
        <f t="shared" si="16"/>
        <v/>
      </c>
      <c r="AP45" s="113" t="str">
        <f t="shared" si="17"/>
        <v/>
      </c>
      <c r="AQ45" s="113" t="str">
        <f t="shared" si="18"/>
        <v/>
      </c>
      <c r="AR45" s="113" t="str">
        <f t="shared" si="19"/>
        <v/>
      </c>
      <c r="AS45" s="107" t="str">
        <f>IF(AO45&lt;&gt;"",'Νέα ΦΣ'!I37+'Νέα ΦΣ'!J37,"")</f>
        <v/>
      </c>
      <c r="AT45" s="106" t="str">
        <f>IF(AO45&lt;&gt;"",'Νέα ΦΣ'!N37,"")</f>
        <v/>
      </c>
      <c r="AU45" s="106" t="str">
        <f>IF(AO45&lt;&gt;"",Υπολογισμοί!J40,"")</f>
        <v/>
      </c>
    </row>
    <row r="46" spans="1:52" x14ac:dyDescent="0.15">
      <c r="A46" s="105" t="str">
        <f>IF('Συμβατικά ΦΣ'!B37&lt;&gt;"",'Συμβατικά ΦΣ'!C37,"")</f>
        <v/>
      </c>
      <c r="B46" s="103" t="str">
        <f>IF('Συμβατικά ΦΣ'!B37&lt;&gt;"",'Συμβατικά ΦΣ'!I37,"")</f>
        <v/>
      </c>
      <c r="C46" s="106" t="str">
        <f>IF('Συμβατικά ΦΣ'!B37&lt;&gt;"",'Συμβατικά ΦΣ'!J37,"")</f>
        <v/>
      </c>
      <c r="D46" s="107" t="str">
        <f>IF('Συμβατικά ΦΣ'!B37&lt;&gt;"",'Συμβατικά ΦΣ'!L37,"")</f>
        <v/>
      </c>
      <c r="E46" s="103" t="str">
        <f>IF('Συμβατικά ΦΣ'!B37&lt;&gt;"",'Συμβατικά ΦΣ'!K37,"")</f>
        <v/>
      </c>
      <c r="G46" s="105" t="str">
        <f t="shared" si="2"/>
        <v/>
      </c>
      <c r="H46" s="102" t="str">
        <f t="shared" si="3"/>
        <v/>
      </c>
      <c r="I46" s="106" t="str">
        <f t="shared" si="4"/>
        <v/>
      </c>
      <c r="J46" s="107" t="str">
        <f t="shared" si="5"/>
        <v/>
      </c>
      <c r="K46" s="107" t="str">
        <f t="shared" si="6"/>
        <v/>
      </c>
      <c r="L46" s="106" t="str">
        <f>IF(G46&lt;&gt;"",'Γενικά Δεδομένα'!$I$6*365,"")</f>
        <v/>
      </c>
      <c r="M46" s="109" t="str">
        <f>IF(G46&lt;&gt;"",Υπολογισμοί!G41,"")</f>
        <v/>
      </c>
      <c r="N46" s="110" t="str">
        <f>IF(G46&lt;&gt;"",'Γενικά Δεδομένα'!$I$4,"")</f>
        <v/>
      </c>
      <c r="O46" s="109" t="str">
        <f>IF(G46&lt;&gt;"",M46*'Γενικά Δεδομένα'!$I$4,"")</f>
        <v/>
      </c>
      <c r="Q46" s="120" t="str">
        <f t="shared" si="20"/>
        <v/>
      </c>
      <c r="R46" s="121" t="str">
        <f t="shared" si="21"/>
        <v/>
      </c>
      <c r="S46" s="122" t="str">
        <f t="shared" si="22"/>
        <v/>
      </c>
      <c r="T46" s="123"/>
      <c r="U46" s="124" t="str">
        <f>IF(Q46&lt;&gt;"",'Νέα ΦΣ'!D38,"")</f>
        <v/>
      </c>
      <c r="V46" s="113" t="str">
        <f>IF(Q46&lt;&gt;"",'Νέα ΦΣ'!M38,"")</f>
        <v/>
      </c>
      <c r="W46" s="113" t="str">
        <f t="shared" si="23"/>
        <v/>
      </c>
      <c r="X46" s="113" t="str">
        <f>IF(Q46&lt;&gt;"",'Νέα ΦΣ'!O38,"")</f>
        <v/>
      </c>
      <c r="Y46" s="107" t="str">
        <f t="shared" si="24"/>
        <v/>
      </c>
      <c r="AA46" s="105" t="str">
        <f t="shared" si="25"/>
        <v/>
      </c>
      <c r="AB46" s="102" t="str">
        <f t="shared" si="26"/>
        <v/>
      </c>
      <c r="AC46" s="102" t="str">
        <f t="shared" si="27"/>
        <v/>
      </c>
      <c r="AD46" s="102" t="str">
        <f t="shared" si="28"/>
        <v/>
      </c>
      <c r="AE46" s="102" t="str">
        <f t="shared" si="29"/>
        <v/>
      </c>
      <c r="AF46" s="107" t="str">
        <f t="shared" si="30"/>
        <v/>
      </c>
      <c r="AG46" s="102" t="str">
        <f t="shared" si="31"/>
        <v/>
      </c>
      <c r="AH46" s="109" t="str">
        <f t="shared" si="32"/>
        <v/>
      </c>
      <c r="AI46" s="109" t="str">
        <f>IF(AA46&lt;&gt;"",Υπολογισμοί!H41,"")</f>
        <v/>
      </c>
      <c r="AJ46" s="111" t="str">
        <f>IF(AA46&lt;&gt;"",'Γενικά Δεδομένα'!$I$4,"")</f>
        <v/>
      </c>
      <c r="AK46" s="109" t="str">
        <f t="shared" si="33"/>
        <v/>
      </c>
      <c r="AO46" s="124" t="str">
        <f t="shared" si="16"/>
        <v/>
      </c>
      <c r="AP46" s="113" t="str">
        <f t="shared" si="17"/>
        <v/>
      </c>
      <c r="AQ46" s="113" t="str">
        <f t="shared" si="18"/>
        <v/>
      </c>
      <c r="AR46" s="113" t="str">
        <f t="shared" si="19"/>
        <v/>
      </c>
      <c r="AS46" s="107" t="str">
        <f>IF(AO46&lt;&gt;"",'Νέα ΦΣ'!I38+'Νέα ΦΣ'!J38,"")</f>
        <v/>
      </c>
      <c r="AT46" s="106" t="str">
        <f>IF(AO46&lt;&gt;"",'Νέα ΦΣ'!N38,"")</f>
        <v/>
      </c>
      <c r="AU46" s="106" t="str">
        <f>IF(AO46&lt;&gt;"",Υπολογισμοί!J41,"")</f>
        <v/>
      </c>
    </row>
    <row r="47" spans="1:52" x14ac:dyDescent="0.15">
      <c r="A47" s="105" t="str">
        <f>IF('Συμβατικά ΦΣ'!B38&lt;&gt;"",'Συμβατικά ΦΣ'!C38,"")</f>
        <v/>
      </c>
      <c r="B47" s="103" t="str">
        <f>IF('Συμβατικά ΦΣ'!B38&lt;&gt;"",'Συμβατικά ΦΣ'!I38,"")</f>
        <v/>
      </c>
      <c r="C47" s="106" t="str">
        <f>IF('Συμβατικά ΦΣ'!B38&lt;&gt;"",'Συμβατικά ΦΣ'!J38,"")</f>
        <v/>
      </c>
      <c r="D47" s="107" t="str">
        <f>IF('Συμβατικά ΦΣ'!B38&lt;&gt;"",'Συμβατικά ΦΣ'!L38,"")</f>
        <v/>
      </c>
      <c r="E47" s="103" t="str">
        <f>IF('Συμβατικά ΦΣ'!B38&lt;&gt;"",'Συμβατικά ΦΣ'!K38,"")</f>
        <v/>
      </c>
      <c r="G47" s="105" t="str">
        <f t="shared" si="2"/>
        <v/>
      </c>
      <c r="H47" s="102" t="str">
        <f t="shared" si="3"/>
        <v/>
      </c>
      <c r="I47" s="106" t="str">
        <f t="shared" si="4"/>
        <v/>
      </c>
      <c r="J47" s="107" t="str">
        <f t="shared" si="5"/>
        <v/>
      </c>
      <c r="K47" s="107" t="str">
        <f t="shared" si="6"/>
        <v/>
      </c>
      <c r="L47" s="106" t="str">
        <f>IF(G47&lt;&gt;"",'Γενικά Δεδομένα'!$I$6*365,"")</f>
        <v/>
      </c>
      <c r="M47" s="109" t="str">
        <f>IF(G47&lt;&gt;"",Υπολογισμοί!G42,"")</f>
        <v/>
      </c>
      <c r="N47" s="110" t="str">
        <f>IF(G47&lt;&gt;"",'Γενικά Δεδομένα'!$I$4,"")</f>
        <v/>
      </c>
      <c r="O47" s="109" t="str">
        <f>IF(G47&lt;&gt;"",M47*'Γενικά Δεδομένα'!$I$4,"")</f>
        <v/>
      </c>
      <c r="Q47" s="120" t="str">
        <f t="shared" si="20"/>
        <v/>
      </c>
      <c r="R47" s="121" t="str">
        <f t="shared" si="21"/>
        <v/>
      </c>
      <c r="S47" s="122" t="str">
        <f t="shared" si="22"/>
        <v/>
      </c>
      <c r="T47" s="123"/>
      <c r="U47" s="124" t="str">
        <f>IF(Q47&lt;&gt;"",'Νέα ΦΣ'!D39,"")</f>
        <v/>
      </c>
      <c r="V47" s="113" t="str">
        <f>IF(Q47&lt;&gt;"",'Νέα ΦΣ'!M39,"")</f>
        <v/>
      </c>
      <c r="W47" s="113" t="str">
        <f t="shared" si="23"/>
        <v/>
      </c>
      <c r="X47" s="113" t="str">
        <f>IF(Q47&lt;&gt;"",'Νέα ΦΣ'!O39,"")</f>
        <v/>
      </c>
      <c r="Y47" s="107" t="str">
        <f t="shared" si="24"/>
        <v/>
      </c>
      <c r="AA47" s="105" t="str">
        <f t="shared" si="25"/>
        <v/>
      </c>
      <c r="AB47" s="102" t="str">
        <f t="shared" si="26"/>
        <v/>
      </c>
      <c r="AC47" s="102" t="str">
        <f t="shared" si="27"/>
        <v/>
      </c>
      <c r="AD47" s="102" t="str">
        <f t="shared" si="28"/>
        <v/>
      </c>
      <c r="AE47" s="102" t="str">
        <f t="shared" si="29"/>
        <v/>
      </c>
      <c r="AF47" s="107" t="str">
        <f t="shared" si="30"/>
        <v/>
      </c>
      <c r="AG47" s="102" t="str">
        <f t="shared" si="31"/>
        <v/>
      </c>
      <c r="AH47" s="109" t="str">
        <f t="shared" si="32"/>
        <v/>
      </c>
      <c r="AI47" s="109" t="str">
        <f>IF(AA47&lt;&gt;"",Υπολογισμοί!H42,"")</f>
        <v/>
      </c>
      <c r="AJ47" s="111" t="str">
        <f>IF(AA47&lt;&gt;"",'Γενικά Δεδομένα'!$I$4,"")</f>
        <v/>
      </c>
      <c r="AK47" s="109" t="str">
        <f t="shared" si="33"/>
        <v/>
      </c>
      <c r="AO47" s="124" t="str">
        <f t="shared" si="16"/>
        <v/>
      </c>
      <c r="AP47" s="113" t="str">
        <f t="shared" si="17"/>
        <v/>
      </c>
      <c r="AQ47" s="113" t="str">
        <f t="shared" si="18"/>
        <v/>
      </c>
      <c r="AR47" s="113" t="str">
        <f t="shared" si="19"/>
        <v/>
      </c>
      <c r="AS47" s="107" t="str">
        <f>IF(AO47&lt;&gt;"",'Νέα ΦΣ'!I39+'Νέα ΦΣ'!J39,"")</f>
        <v/>
      </c>
      <c r="AT47" s="106" t="str">
        <f>IF(AO47&lt;&gt;"",'Νέα ΦΣ'!N39,"")</f>
        <v/>
      </c>
      <c r="AU47" s="106" t="str">
        <f>IF(AO47&lt;&gt;"",Υπολογισμοί!J42,"")</f>
        <v/>
      </c>
    </row>
    <row r="48" spans="1:52" x14ac:dyDescent="0.15">
      <c r="A48" s="105" t="str">
        <f>IF('Συμβατικά ΦΣ'!B39&lt;&gt;"",'Συμβατικά ΦΣ'!C39,"")</f>
        <v/>
      </c>
      <c r="B48" s="103" t="str">
        <f>IF('Συμβατικά ΦΣ'!B39&lt;&gt;"",'Συμβατικά ΦΣ'!I39,"")</f>
        <v/>
      </c>
      <c r="C48" s="106" t="str">
        <f>IF('Συμβατικά ΦΣ'!B39&lt;&gt;"",'Συμβατικά ΦΣ'!J39,"")</f>
        <v/>
      </c>
      <c r="D48" s="107" t="str">
        <f>IF('Συμβατικά ΦΣ'!B39&lt;&gt;"",'Συμβατικά ΦΣ'!L39,"")</f>
        <v/>
      </c>
      <c r="E48" s="103" t="str">
        <f>IF('Συμβατικά ΦΣ'!B39&lt;&gt;"",'Συμβατικά ΦΣ'!K39,"")</f>
        <v/>
      </c>
      <c r="G48" s="105" t="str">
        <f t="shared" si="2"/>
        <v/>
      </c>
      <c r="H48" s="102" t="str">
        <f t="shared" si="3"/>
        <v/>
      </c>
      <c r="I48" s="106" t="str">
        <f t="shared" si="4"/>
        <v/>
      </c>
      <c r="J48" s="107" t="str">
        <f t="shared" si="5"/>
        <v/>
      </c>
      <c r="K48" s="107" t="str">
        <f t="shared" si="6"/>
        <v/>
      </c>
      <c r="L48" s="106" t="str">
        <f>IF(G48&lt;&gt;"",'Γενικά Δεδομένα'!$I$6*365,"")</f>
        <v/>
      </c>
      <c r="M48" s="109" t="str">
        <f>IF(G48&lt;&gt;"",Υπολογισμοί!G43,"")</f>
        <v/>
      </c>
      <c r="N48" s="110" t="str">
        <f>IF(G48&lt;&gt;"",'Γενικά Δεδομένα'!$I$4,"")</f>
        <v/>
      </c>
      <c r="O48" s="109" t="str">
        <f>IF(G48&lt;&gt;"",M48*'Γενικά Δεδομένα'!$I$4,"")</f>
        <v/>
      </c>
      <c r="Q48" s="120" t="str">
        <f t="shared" si="20"/>
        <v/>
      </c>
      <c r="R48" s="121" t="str">
        <f t="shared" si="21"/>
        <v/>
      </c>
      <c r="S48" s="122" t="str">
        <f t="shared" si="22"/>
        <v/>
      </c>
      <c r="T48" s="123"/>
      <c r="U48" s="124" t="str">
        <f>IF(Q48&lt;&gt;"",'Νέα ΦΣ'!D40,"")</f>
        <v/>
      </c>
      <c r="V48" s="113" t="str">
        <f>IF(Q48&lt;&gt;"",'Νέα ΦΣ'!M40,"")</f>
        <v/>
      </c>
      <c r="W48" s="113" t="str">
        <f t="shared" si="23"/>
        <v/>
      </c>
      <c r="X48" s="113" t="str">
        <f>IF(Q48&lt;&gt;"",'Νέα ΦΣ'!O40,"")</f>
        <v/>
      </c>
      <c r="Y48" s="107" t="str">
        <f t="shared" si="24"/>
        <v/>
      </c>
      <c r="AA48" s="105" t="str">
        <f t="shared" si="25"/>
        <v/>
      </c>
      <c r="AB48" s="102" t="str">
        <f t="shared" si="26"/>
        <v/>
      </c>
      <c r="AC48" s="102" t="str">
        <f t="shared" si="27"/>
        <v/>
      </c>
      <c r="AD48" s="102" t="str">
        <f t="shared" si="28"/>
        <v/>
      </c>
      <c r="AE48" s="102" t="str">
        <f t="shared" si="29"/>
        <v/>
      </c>
      <c r="AF48" s="107" t="str">
        <f t="shared" si="30"/>
        <v/>
      </c>
      <c r="AG48" s="102" t="str">
        <f t="shared" si="31"/>
        <v/>
      </c>
      <c r="AH48" s="109" t="str">
        <f t="shared" si="32"/>
        <v/>
      </c>
      <c r="AI48" s="109" t="str">
        <f>IF(AA48&lt;&gt;"",Υπολογισμοί!H43,"")</f>
        <v/>
      </c>
      <c r="AJ48" s="111" t="str">
        <f>IF(AA48&lt;&gt;"",'Γενικά Δεδομένα'!$I$4,"")</f>
        <v/>
      </c>
      <c r="AK48" s="109" t="str">
        <f t="shared" si="33"/>
        <v/>
      </c>
      <c r="AO48" s="124" t="str">
        <f t="shared" si="16"/>
        <v/>
      </c>
      <c r="AP48" s="113" t="str">
        <f t="shared" si="17"/>
        <v/>
      </c>
      <c r="AQ48" s="113" t="str">
        <f t="shared" si="18"/>
        <v/>
      </c>
      <c r="AR48" s="113" t="str">
        <f t="shared" si="19"/>
        <v/>
      </c>
      <c r="AS48" s="107" t="str">
        <f>IF(AO48&lt;&gt;"",'Νέα ΦΣ'!I40+'Νέα ΦΣ'!J40,"")</f>
        <v/>
      </c>
      <c r="AT48" s="106" t="str">
        <f>IF(AO48&lt;&gt;"",'Νέα ΦΣ'!N40,"")</f>
        <v/>
      </c>
      <c r="AU48" s="106" t="str">
        <f>IF(AO48&lt;&gt;"",Υπολογισμοί!J43,"")</f>
        <v/>
      </c>
    </row>
    <row r="49" spans="1:47" x14ac:dyDescent="0.15">
      <c r="A49" s="105" t="str">
        <f>IF('Συμβατικά ΦΣ'!B40&lt;&gt;"",'Συμβατικά ΦΣ'!C40,"")</f>
        <v/>
      </c>
      <c r="B49" s="103" t="str">
        <f>IF('Συμβατικά ΦΣ'!B40&lt;&gt;"",'Συμβατικά ΦΣ'!I40,"")</f>
        <v/>
      </c>
      <c r="C49" s="106" t="str">
        <f>IF('Συμβατικά ΦΣ'!B40&lt;&gt;"",'Συμβατικά ΦΣ'!J40,"")</f>
        <v/>
      </c>
      <c r="D49" s="107" t="str">
        <f>IF('Συμβατικά ΦΣ'!B40&lt;&gt;"",'Συμβατικά ΦΣ'!L40,"")</f>
        <v/>
      </c>
      <c r="E49" s="103" t="str">
        <f>IF('Συμβατικά ΦΣ'!B40&lt;&gt;"",'Συμβατικά ΦΣ'!K40,"")</f>
        <v/>
      </c>
      <c r="G49" s="105" t="str">
        <f t="shared" si="2"/>
        <v/>
      </c>
      <c r="H49" s="102" t="str">
        <f t="shared" si="3"/>
        <v/>
      </c>
      <c r="I49" s="106" t="str">
        <f t="shared" si="4"/>
        <v/>
      </c>
      <c r="J49" s="107" t="str">
        <f t="shared" si="5"/>
        <v/>
      </c>
      <c r="K49" s="107" t="str">
        <f t="shared" si="6"/>
        <v/>
      </c>
      <c r="L49" s="106" t="str">
        <f>IF(G49&lt;&gt;"",'Γενικά Δεδομένα'!$I$6*365,"")</f>
        <v/>
      </c>
      <c r="M49" s="109" t="str">
        <f>IF(G49&lt;&gt;"",Υπολογισμοί!G44,"")</f>
        <v/>
      </c>
      <c r="N49" s="110" t="str">
        <f>IF(G49&lt;&gt;"",'Γενικά Δεδομένα'!$I$4,"")</f>
        <v/>
      </c>
      <c r="O49" s="109" t="str">
        <f>IF(G49&lt;&gt;"",M49*'Γενικά Δεδομένα'!$I$4,"")</f>
        <v/>
      </c>
      <c r="Q49" s="120" t="str">
        <f t="shared" si="20"/>
        <v/>
      </c>
      <c r="R49" s="121" t="str">
        <f t="shared" si="21"/>
        <v/>
      </c>
      <c r="S49" s="122" t="str">
        <f t="shared" si="22"/>
        <v/>
      </c>
      <c r="T49" s="123"/>
      <c r="U49" s="124" t="str">
        <f>IF(Q49&lt;&gt;"",'Νέα ΦΣ'!D41,"")</f>
        <v/>
      </c>
      <c r="V49" s="113" t="str">
        <f>IF(Q49&lt;&gt;"",'Νέα ΦΣ'!M41,"")</f>
        <v/>
      </c>
      <c r="W49" s="113" t="str">
        <f t="shared" si="23"/>
        <v/>
      </c>
      <c r="X49" s="113" t="str">
        <f>IF(Q49&lt;&gt;"",'Νέα ΦΣ'!O41,"")</f>
        <v/>
      </c>
      <c r="Y49" s="107" t="str">
        <f t="shared" si="24"/>
        <v/>
      </c>
      <c r="AA49" s="105" t="str">
        <f t="shared" si="25"/>
        <v/>
      </c>
      <c r="AB49" s="102" t="str">
        <f t="shared" si="26"/>
        <v/>
      </c>
      <c r="AC49" s="102" t="str">
        <f t="shared" si="27"/>
        <v/>
      </c>
      <c r="AD49" s="102" t="str">
        <f t="shared" si="28"/>
        <v/>
      </c>
      <c r="AE49" s="102" t="str">
        <f t="shared" si="29"/>
        <v/>
      </c>
      <c r="AF49" s="107" t="str">
        <f t="shared" si="30"/>
        <v/>
      </c>
      <c r="AG49" s="102" t="str">
        <f t="shared" si="31"/>
        <v/>
      </c>
      <c r="AH49" s="109" t="str">
        <f t="shared" si="32"/>
        <v/>
      </c>
      <c r="AI49" s="109" t="str">
        <f>IF(AA49&lt;&gt;"",Υπολογισμοί!H44,"")</f>
        <v/>
      </c>
      <c r="AJ49" s="111" t="str">
        <f>IF(AA49&lt;&gt;"",'Γενικά Δεδομένα'!$I$4,"")</f>
        <v/>
      </c>
      <c r="AK49" s="109" t="str">
        <f t="shared" si="33"/>
        <v/>
      </c>
      <c r="AO49" s="124" t="str">
        <f t="shared" si="16"/>
        <v/>
      </c>
      <c r="AP49" s="113" t="str">
        <f t="shared" si="17"/>
        <v/>
      </c>
      <c r="AQ49" s="113" t="str">
        <f t="shared" si="18"/>
        <v/>
      </c>
      <c r="AR49" s="113" t="str">
        <f t="shared" si="19"/>
        <v/>
      </c>
      <c r="AS49" s="107" t="str">
        <f>IF(AO49&lt;&gt;"",'Νέα ΦΣ'!I41+'Νέα ΦΣ'!J41,"")</f>
        <v/>
      </c>
      <c r="AT49" s="106" t="str">
        <f>IF(AO49&lt;&gt;"",'Νέα ΦΣ'!N41,"")</f>
        <v/>
      </c>
      <c r="AU49" s="106" t="str">
        <f>IF(AO49&lt;&gt;"",Υπολογισμοί!J44,"")</f>
        <v/>
      </c>
    </row>
    <row r="50" spans="1:47" x14ac:dyDescent="0.15">
      <c r="A50" s="105" t="str">
        <f>IF('Συμβατικά ΦΣ'!B41&lt;&gt;"",'Συμβατικά ΦΣ'!C41,"")</f>
        <v/>
      </c>
      <c r="B50" s="103" t="str">
        <f>IF('Συμβατικά ΦΣ'!B41&lt;&gt;"",'Συμβατικά ΦΣ'!I41,"")</f>
        <v/>
      </c>
      <c r="C50" s="106" t="str">
        <f>IF('Συμβατικά ΦΣ'!B41&lt;&gt;"",'Συμβατικά ΦΣ'!J41,"")</f>
        <v/>
      </c>
      <c r="D50" s="107" t="str">
        <f>IF('Συμβατικά ΦΣ'!B41&lt;&gt;"",'Συμβατικά ΦΣ'!L41,"")</f>
        <v/>
      </c>
      <c r="E50" s="103" t="str">
        <f>IF('Συμβατικά ΦΣ'!B41&lt;&gt;"",'Συμβατικά ΦΣ'!K41,"")</f>
        <v/>
      </c>
      <c r="G50" s="105" t="str">
        <f t="shared" si="2"/>
        <v/>
      </c>
      <c r="H50" s="102" t="str">
        <f t="shared" si="3"/>
        <v/>
      </c>
      <c r="I50" s="106" t="str">
        <f t="shared" si="4"/>
        <v/>
      </c>
      <c r="J50" s="107" t="str">
        <f t="shared" si="5"/>
        <v/>
      </c>
      <c r="K50" s="107" t="str">
        <f t="shared" si="6"/>
        <v/>
      </c>
      <c r="L50" s="106" t="str">
        <f>IF(G50&lt;&gt;"",'Γενικά Δεδομένα'!$I$6*365,"")</f>
        <v/>
      </c>
      <c r="M50" s="109" t="str">
        <f>IF(G50&lt;&gt;"",Υπολογισμοί!G45,"")</f>
        <v/>
      </c>
      <c r="N50" s="110" t="str">
        <f>IF(G50&lt;&gt;"",'Γενικά Δεδομένα'!$I$4,"")</f>
        <v/>
      </c>
      <c r="O50" s="109" t="str">
        <f>IF(G50&lt;&gt;"",M50*'Γενικά Δεδομένα'!$I$4,"")</f>
        <v/>
      </c>
      <c r="Q50" s="120" t="str">
        <f t="shared" si="20"/>
        <v/>
      </c>
      <c r="R50" s="121" t="str">
        <f t="shared" si="21"/>
        <v/>
      </c>
      <c r="S50" s="122" t="str">
        <f t="shared" si="22"/>
        <v/>
      </c>
      <c r="T50" s="123"/>
      <c r="U50" s="124" t="str">
        <f>IF(Q50&lt;&gt;"",'Νέα ΦΣ'!D42,"")</f>
        <v/>
      </c>
      <c r="V50" s="113" t="str">
        <f>IF(Q50&lt;&gt;"",'Νέα ΦΣ'!M42,"")</f>
        <v/>
      </c>
      <c r="W50" s="113" t="str">
        <f t="shared" si="23"/>
        <v/>
      </c>
      <c r="X50" s="113" t="str">
        <f>IF(Q50&lt;&gt;"",'Νέα ΦΣ'!O42,"")</f>
        <v/>
      </c>
      <c r="Y50" s="107" t="str">
        <f t="shared" si="24"/>
        <v/>
      </c>
      <c r="AA50" s="105" t="str">
        <f t="shared" si="25"/>
        <v/>
      </c>
      <c r="AB50" s="102" t="str">
        <f t="shared" si="26"/>
        <v/>
      </c>
      <c r="AC50" s="102" t="str">
        <f t="shared" si="27"/>
        <v/>
      </c>
      <c r="AD50" s="102" t="str">
        <f t="shared" si="28"/>
        <v/>
      </c>
      <c r="AE50" s="102" t="str">
        <f t="shared" si="29"/>
        <v/>
      </c>
      <c r="AF50" s="107" t="str">
        <f t="shared" si="30"/>
        <v/>
      </c>
      <c r="AG50" s="102" t="str">
        <f t="shared" si="31"/>
        <v/>
      </c>
      <c r="AH50" s="109" t="str">
        <f t="shared" si="32"/>
        <v/>
      </c>
      <c r="AI50" s="109" t="str">
        <f>IF(AA50&lt;&gt;"",Υπολογισμοί!H45,"")</f>
        <v/>
      </c>
      <c r="AJ50" s="111" t="str">
        <f>IF(AA50&lt;&gt;"",'Γενικά Δεδομένα'!$I$4,"")</f>
        <v/>
      </c>
      <c r="AK50" s="109" t="str">
        <f t="shared" si="33"/>
        <v/>
      </c>
      <c r="AO50" s="124" t="str">
        <f t="shared" si="16"/>
        <v/>
      </c>
      <c r="AP50" s="113" t="str">
        <f t="shared" si="17"/>
        <v/>
      </c>
      <c r="AQ50" s="113" t="str">
        <f t="shared" si="18"/>
        <v/>
      </c>
      <c r="AR50" s="113" t="str">
        <f t="shared" si="19"/>
        <v/>
      </c>
      <c r="AS50" s="107" t="str">
        <f>IF(AO50&lt;&gt;"",'Νέα ΦΣ'!I42+'Νέα ΦΣ'!J42,"")</f>
        <v/>
      </c>
      <c r="AT50" s="106" t="str">
        <f>IF(AO50&lt;&gt;"",'Νέα ΦΣ'!N42,"")</f>
        <v/>
      </c>
      <c r="AU50" s="106" t="str">
        <f>IF(AO50&lt;&gt;"",Υπολογισμοί!J45,"")</f>
        <v/>
      </c>
    </row>
    <row r="51" spans="1:47" x14ac:dyDescent="0.15">
      <c r="A51" s="105" t="str">
        <f>IF('Συμβατικά ΦΣ'!B42&lt;&gt;"",'Συμβατικά ΦΣ'!C42,"")</f>
        <v/>
      </c>
      <c r="B51" s="103" t="str">
        <f>IF('Συμβατικά ΦΣ'!B42&lt;&gt;"",'Συμβατικά ΦΣ'!I42,"")</f>
        <v/>
      </c>
      <c r="C51" s="106" t="str">
        <f>IF('Συμβατικά ΦΣ'!B42&lt;&gt;"",'Συμβατικά ΦΣ'!J42,"")</f>
        <v/>
      </c>
      <c r="D51" s="107" t="str">
        <f>IF('Συμβατικά ΦΣ'!B42&lt;&gt;"",'Συμβατικά ΦΣ'!L42,"")</f>
        <v/>
      </c>
      <c r="E51" s="103" t="str">
        <f>IF('Συμβατικά ΦΣ'!B42&lt;&gt;"",'Συμβατικά ΦΣ'!K42,"")</f>
        <v/>
      </c>
      <c r="G51" s="105" t="str">
        <f t="shared" si="2"/>
        <v/>
      </c>
      <c r="H51" s="102" t="str">
        <f t="shared" si="3"/>
        <v/>
      </c>
      <c r="I51" s="106" t="str">
        <f t="shared" si="4"/>
        <v/>
      </c>
      <c r="J51" s="107" t="str">
        <f t="shared" si="5"/>
        <v/>
      </c>
      <c r="K51" s="107" t="str">
        <f t="shared" si="6"/>
        <v/>
      </c>
      <c r="L51" s="106" t="str">
        <f>IF(G51&lt;&gt;"",'Γενικά Δεδομένα'!$I$6*365,"")</f>
        <v/>
      </c>
      <c r="M51" s="109" t="str">
        <f>IF(G51&lt;&gt;"",Υπολογισμοί!G46,"")</f>
        <v/>
      </c>
      <c r="N51" s="110" t="str">
        <f>IF(G51&lt;&gt;"",'Γενικά Δεδομένα'!$I$4,"")</f>
        <v/>
      </c>
      <c r="O51" s="109" t="str">
        <f>IF(G51&lt;&gt;"",M51*'Γενικά Δεδομένα'!$I$4,"")</f>
        <v/>
      </c>
      <c r="Q51" s="120" t="str">
        <f t="shared" si="20"/>
        <v/>
      </c>
      <c r="R51" s="121" t="str">
        <f t="shared" si="21"/>
        <v/>
      </c>
      <c r="S51" s="122" t="str">
        <f t="shared" si="22"/>
        <v/>
      </c>
      <c r="T51" s="123"/>
      <c r="U51" s="124" t="str">
        <f>IF(Q51&lt;&gt;"",'Νέα ΦΣ'!D43,"")</f>
        <v/>
      </c>
      <c r="V51" s="113" t="str">
        <f>IF(Q51&lt;&gt;"",'Νέα ΦΣ'!M43,"")</f>
        <v/>
      </c>
      <c r="W51" s="113" t="str">
        <f t="shared" si="23"/>
        <v/>
      </c>
      <c r="X51" s="113" t="str">
        <f>IF(Q51&lt;&gt;"",'Νέα ΦΣ'!O43,"")</f>
        <v/>
      </c>
      <c r="Y51" s="107" t="str">
        <f t="shared" si="24"/>
        <v/>
      </c>
      <c r="AA51" s="105" t="str">
        <f t="shared" si="25"/>
        <v/>
      </c>
      <c r="AB51" s="102" t="str">
        <f t="shared" si="26"/>
        <v/>
      </c>
      <c r="AC51" s="102" t="str">
        <f t="shared" si="27"/>
        <v/>
      </c>
      <c r="AD51" s="102" t="str">
        <f t="shared" si="28"/>
        <v/>
      </c>
      <c r="AE51" s="102" t="str">
        <f t="shared" si="29"/>
        <v/>
      </c>
      <c r="AF51" s="107" t="str">
        <f t="shared" si="30"/>
        <v/>
      </c>
      <c r="AG51" s="102" t="str">
        <f t="shared" si="31"/>
        <v/>
      </c>
      <c r="AH51" s="109" t="str">
        <f t="shared" si="32"/>
        <v/>
      </c>
      <c r="AI51" s="109" t="str">
        <f>IF(AA51&lt;&gt;"",Υπολογισμοί!H46,"")</f>
        <v/>
      </c>
      <c r="AJ51" s="111" t="str">
        <f>IF(AA51&lt;&gt;"",'Γενικά Δεδομένα'!$I$4,"")</f>
        <v/>
      </c>
      <c r="AK51" s="109" t="str">
        <f t="shared" si="33"/>
        <v/>
      </c>
      <c r="AO51" s="124" t="str">
        <f t="shared" si="16"/>
        <v/>
      </c>
      <c r="AP51" s="113" t="str">
        <f t="shared" si="17"/>
        <v/>
      </c>
      <c r="AQ51" s="113" t="str">
        <f t="shared" si="18"/>
        <v/>
      </c>
      <c r="AR51" s="113" t="str">
        <f t="shared" si="19"/>
        <v/>
      </c>
      <c r="AS51" s="107" t="str">
        <f>IF(AO51&lt;&gt;"",'Νέα ΦΣ'!I43+'Νέα ΦΣ'!J43,"")</f>
        <v/>
      </c>
      <c r="AT51" s="106" t="str">
        <f>IF(AO51&lt;&gt;"",'Νέα ΦΣ'!N43,"")</f>
        <v/>
      </c>
      <c r="AU51" s="106" t="str">
        <f>IF(AO51&lt;&gt;"",Υπολογισμοί!J46,"")</f>
        <v/>
      </c>
    </row>
    <row r="52" spans="1:47" x14ac:dyDescent="0.15">
      <c r="A52" s="105" t="str">
        <f>IF('Συμβατικά ΦΣ'!B43&lt;&gt;"",'Συμβατικά ΦΣ'!C43,"")</f>
        <v/>
      </c>
      <c r="B52" s="103" t="str">
        <f>IF('Συμβατικά ΦΣ'!B43&lt;&gt;"",'Συμβατικά ΦΣ'!I43,"")</f>
        <v/>
      </c>
      <c r="C52" s="106" t="str">
        <f>IF('Συμβατικά ΦΣ'!B43&lt;&gt;"",'Συμβατικά ΦΣ'!J43,"")</f>
        <v/>
      </c>
      <c r="D52" s="107" t="str">
        <f>IF('Συμβατικά ΦΣ'!B43&lt;&gt;"",'Συμβατικά ΦΣ'!L43,"")</f>
        <v/>
      </c>
      <c r="E52" s="103" t="str">
        <f>IF('Συμβατικά ΦΣ'!B43&lt;&gt;"",'Συμβατικά ΦΣ'!K43,"")</f>
        <v/>
      </c>
      <c r="G52" s="105" t="str">
        <f t="shared" si="2"/>
        <v/>
      </c>
      <c r="H52" s="102" t="str">
        <f t="shared" si="3"/>
        <v/>
      </c>
      <c r="I52" s="106" t="str">
        <f t="shared" si="4"/>
        <v/>
      </c>
      <c r="J52" s="107" t="str">
        <f t="shared" si="5"/>
        <v/>
      </c>
      <c r="K52" s="107" t="str">
        <f t="shared" si="6"/>
        <v/>
      </c>
      <c r="L52" s="106" t="str">
        <f>IF(G52&lt;&gt;"",'Γενικά Δεδομένα'!$I$6*365,"")</f>
        <v/>
      </c>
      <c r="M52" s="109" t="str">
        <f>IF(G52&lt;&gt;"",Υπολογισμοί!G47,"")</f>
        <v/>
      </c>
      <c r="N52" s="110" t="str">
        <f>IF(G52&lt;&gt;"",'Γενικά Δεδομένα'!$I$4,"")</f>
        <v/>
      </c>
      <c r="O52" s="109" t="str">
        <f>IF(G52&lt;&gt;"",M52*'Γενικά Δεδομένα'!$I$4,"")</f>
        <v/>
      </c>
      <c r="Q52" s="120" t="str">
        <f t="shared" si="20"/>
        <v/>
      </c>
      <c r="R52" s="121" t="str">
        <f t="shared" si="21"/>
        <v/>
      </c>
      <c r="S52" s="122" t="str">
        <f t="shared" si="22"/>
        <v/>
      </c>
      <c r="T52" s="123"/>
      <c r="U52" s="124" t="str">
        <f>IF(Q52&lt;&gt;"",'Νέα ΦΣ'!D44,"")</f>
        <v/>
      </c>
      <c r="V52" s="113" t="str">
        <f>IF(Q52&lt;&gt;"",'Νέα ΦΣ'!M44,"")</f>
        <v/>
      </c>
      <c r="W52" s="113" t="str">
        <f t="shared" si="23"/>
        <v/>
      </c>
      <c r="X52" s="113" t="str">
        <f>IF(Q52&lt;&gt;"",'Νέα ΦΣ'!O44,"")</f>
        <v/>
      </c>
      <c r="Y52" s="107" t="str">
        <f t="shared" si="24"/>
        <v/>
      </c>
      <c r="AA52" s="105" t="str">
        <f t="shared" si="25"/>
        <v/>
      </c>
      <c r="AB52" s="102" t="str">
        <f t="shared" si="26"/>
        <v/>
      </c>
      <c r="AC52" s="102" t="str">
        <f t="shared" si="27"/>
        <v/>
      </c>
      <c r="AD52" s="102" t="str">
        <f t="shared" si="28"/>
        <v/>
      </c>
      <c r="AE52" s="102" t="str">
        <f t="shared" si="29"/>
        <v/>
      </c>
      <c r="AF52" s="107" t="str">
        <f t="shared" si="30"/>
        <v/>
      </c>
      <c r="AG52" s="102" t="str">
        <f t="shared" si="31"/>
        <v/>
      </c>
      <c r="AH52" s="109" t="str">
        <f t="shared" si="32"/>
        <v/>
      </c>
      <c r="AI52" s="109" t="str">
        <f>IF(AA52&lt;&gt;"",Υπολογισμοί!H47,"")</f>
        <v/>
      </c>
      <c r="AJ52" s="111" t="str">
        <f>IF(AA52&lt;&gt;"",'Γενικά Δεδομένα'!$I$4,"")</f>
        <v/>
      </c>
      <c r="AK52" s="109" t="str">
        <f t="shared" si="33"/>
        <v/>
      </c>
      <c r="AO52" s="124" t="str">
        <f t="shared" si="16"/>
        <v/>
      </c>
      <c r="AP52" s="113" t="str">
        <f t="shared" si="17"/>
        <v/>
      </c>
      <c r="AQ52" s="113" t="str">
        <f t="shared" si="18"/>
        <v/>
      </c>
      <c r="AR52" s="113" t="str">
        <f t="shared" si="19"/>
        <v/>
      </c>
      <c r="AS52" s="107" t="str">
        <f>IF(AO52&lt;&gt;"",'Νέα ΦΣ'!I44+'Νέα ΦΣ'!J44,"")</f>
        <v/>
      </c>
      <c r="AT52" s="106" t="str">
        <f>IF(AO52&lt;&gt;"",'Νέα ΦΣ'!N44,"")</f>
        <v/>
      </c>
      <c r="AU52" s="106" t="str">
        <f>IF(AO52&lt;&gt;"",Υπολογισμοί!J47,"")</f>
        <v/>
      </c>
    </row>
    <row r="53" spans="1:47" x14ac:dyDescent="0.15">
      <c r="A53" s="105" t="str">
        <f>IF('Συμβατικά ΦΣ'!B44&lt;&gt;"",'Συμβατικά ΦΣ'!C44,"")</f>
        <v/>
      </c>
      <c r="B53" s="103" t="str">
        <f>IF('Συμβατικά ΦΣ'!B44&lt;&gt;"",'Συμβατικά ΦΣ'!I44,"")</f>
        <v/>
      </c>
      <c r="C53" s="106" t="str">
        <f>IF('Συμβατικά ΦΣ'!B44&lt;&gt;"",'Συμβατικά ΦΣ'!J44,"")</f>
        <v/>
      </c>
      <c r="D53" s="107" t="str">
        <f>IF('Συμβατικά ΦΣ'!B44&lt;&gt;"",'Συμβατικά ΦΣ'!L44,"")</f>
        <v/>
      </c>
      <c r="E53" s="103" t="str">
        <f>IF('Συμβατικά ΦΣ'!B44&lt;&gt;"",'Συμβατικά ΦΣ'!K44,"")</f>
        <v/>
      </c>
      <c r="G53" s="105" t="str">
        <f t="shared" si="2"/>
        <v/>
      </c>
      <c r="H53" s="102" t="str">
        <f t="shared" si="3"/>
        <v/>
      </c>
      <c r="I53" s="106" t="str">
        <f t="shared" si="4"/>
        <v/>
      </c>
      <c r="J53" s="107" t="str">
        <f t="shared" si="5"/>
        <v/>
      </c>
      <c r="K53" s="107" t="str">
        <f t="shared" si="6"/>
        <v/>
      </c>
      <c r="L53" s="106" t="str">
        <f>IF(G53&lt;&gt;"",'Γενικά Δεδομένα'!$I$6*365,"")</f>
        <v/>
      </c>
      <c r="M53" s="109" t="str">
        <f>IF(G53&lt;&gt;"",Υπολογισμοί!G48,"")</f>
        <v/>
      </c>
      <c r="N53" s="110" t="str">
        <f>IF(G53&lt;&gt;"",'Γενικά Δεδομένα'!$I$4,"")</f>
        <v/>
      </c>
      <c r="O53" s="109" t="str">
        <f>IF(G53&lt;&gt;"",M53*'Γενικά Δεδομένα'!$I$4,"")</f>
        <v/>
      </c>
      <c r="Q53" s="120" t="str">
        <f t="shared" si="20"/>
        <v/>
      </c>
      <c r="R53" s="121" t="str">
        <f t="shared" si="21"/>
        <v/>
      </c>
      <c r="S53" s="122" t="str">
        <f t="shared" si="22"/>
        <v/>
      </c>
      <c r="T53" s="123"/>
      <c r="U53" s="124" t="str">
        <f>IF(Q53&lt;&gt;"",'Νέα ΦΣ'!D45,"")</f>
        <v/>
      </c>
      <c r="V53" s="113" t="str">
        <f>IF(Q53&lt;&gt;"",'Νέα ΦΣ'!M45,"")</f>
        <v/>
      </c>
      <c r="W53" s="113" t="str">
        <f t="shared" si="23"/>
        <v/>
      </c>
      <c r="X53" s="113" t="str">
        <f>IF(Q53&lt;&gt;"",'Νέα ΦΣ'!O45,"")</f>
        <v/>
      </c>
      <c r="Y53" s="107" t="str">
        <f t="shared" si="24"/>
        <v/>
      </c>
      <c r="AA53" s="105" t="str">
        <f t="shared" si="25"/>
        <v/>
      </c>
      <c r="AB53" s="102" t="str">
        <f t="shared" si="26"/>
        <v/>
      </c>
      <c r="AC53" s="102" t="str">
        <f t="shared" si="27"/>
        <v/>
      </c>
      <c r="AD53" s="102" t="str">
        <f t="shared" si="28"/>
        <v/>
      </c>
      <c r="AE53" s="102" t="str">
        <f t="shared" si="29"/>
        <v/>
      </c>
      <c r="AF53" s="107" t="str">
        <f t="shared" si="30"/>
        <v/>
      </c>
      <c r="AG53" s="102" t="str">
        <f t="shared" si="31"/>
        <v/>
      </c>
      <c r="AH53" s="109" t="str">
        <f t="shared" si="32"/>
        <v/>
      </c>
      <c r="AI53" s="109" t="str">
        <f>IF(AA53&lt;&gt;"",Υπολογισμοί!H48,"")</f>
        <v/>
      </c>
      <c r="AJ53" s="111" t="str">
        <f>IF(AA53&lt;&gt;"",'Γενικά Δεδομένα'!$I$4,"")</f>
        <v/>
      </c>
      <c r="AK53" s="109" t="str">
        <f t="shared" si="33"/>
        <v/>
      </c>
      <c r="AO53" s="124" t="str">
        <f t="shared" si="16"/>
        <v/>
      </c>
      <c r="AP53" s="113" t="str">
        <f t="shared" si="17"/>
        <v/>
      </c>
      <c r="AQ53" s="113" t="str">
        <f t="shared" si="18"/>
        <v/>
      </c>
      <c r="AR53" s="113" t="str">
        <f t="shared" si="19"/>
        <v/>
      </c>
      <c r="AS53" s="107" t="str">
        <f>IF(AO53&lt;&gt;"",'Νέα ΦΣ'!I45+'Νέα ΦΣ'!J45,"")</f>
        <v/>
      </c>
      <c r="AT53" s="106" t="str">
        <f>IF(AO53&lt;&gt;"",'Νέα ΦΣ'!N45,"")</f>
        <v/>
      </c>
      <c r="AU53" s="106" t="str">
        <f>IF(AO53&lt;&gt;"",Υπολογισμοί!J48,"")</f>
        <v/>
      </c>
    </row>
    <row r="54" spans="1:47" x14ac:dyDescent="0.15">
      <c r="A54" s="105" t="str">
        <f>IF('Συμβατικά ΦΣ'!B45&lt;&gt;"",'Συμβατικά ΦΣ'!C45,"")</f>
        <v/>
      </c>
      <c r="B54" s="103" t="str">
        <f>IF('Συμβατικά ΦΣ'!B45&lt;&gt;"",'Συμβατικά ΦΣ'!I45,"")</f>
        <v/>
      </c>
      <c r="C54" s="106" t="str">
        <f>IF('Συμβατικά ΦΣ'!B45&lt;&gt;"",'Συμβατικά ΦΣ'!J45,"")</f>
        <v/>
      </c>
      <c r="D54" s="107" t="str">
        <f>IF('Συμβατικά ΦΣ'!B45&lt;&gt;"",'Συμβατικά ΦΣ'!L45,"")</f>
        <v/>
      </c>
      <c r="E54" s="103" t="str">
        <f>IF('Συμβατικά ΦΣ'!B45&lt;&gt;"",'Συμβατικά ΦΣ'!K45,"")</f>
        <v/>
      </c>
      <c r="G54" s="105" t="str">
        <f t="shared" si="2"/>
        <v/>
      </c>
      <c r="H54" s="102" t="str">
        <f t="shared" si="3"/>
        <v/>
      </c>
      <c r="I54" s="106" t="str">
        <f t="shared" si="4"/>
        <v/>
      </c>
      <c r="J54" s="107" t="str">
        <f t="shared" si="5"/>
        <v/>
      </c>
      <c r="K54" s="107" t="str">
        <f t="shared" si="6"/>
        <v/>
      </c>
      <c r="L54" s="106" t="str">
        <f>IF(G54&lt;&gt;"",'Γενικά Δεδομένα'!$I$6*365,"")</f>
        <v/>
      </c>
      <c r="M54" s="109" t="str">
        <f>IF(G54&lt;&gt;"",Υπολογισμοί!G49,"")</f>
        <v/>
      </c>
      <c r="N54" s="110" t="str">
        <f>IF(G54&lt;&gt;"",'Γενικά Δεδομένα'!$I$4,"")</f>
        <v/>
      </c>
      <c r="O54" s="109" t="str">
        <f>IF(G54&lt;&gt;"",M54*'Γενικά Δεδομένα'!$I$4,"")</f>
        <v/>
      </c>
      <c r="Q54" s="120" t="str">
        <f t="shared" si="20"/>
        <v/>
      </c>
      <c r="R54" s="121" t="str">
        <f t="shared" si="21"/>
        <v/>
      </c>
      <c r="S54" s="122" t="str">
        <f t="shared" si="22"/>
        <v/>
      </c>
      <c r="T54" s="123"/>
      <c r="U54" s="124" t="str">
        <f>IF(Q54&lt;&gt;"",'Νέα ΦΣ'!D46,"")</f>
        <v/>
      </c>
      <c r="V54" s="113" t="str">
        <f>IF(Q54&lt;&gt;"",'Νέα ΦΣ'!M46,"")</f>
        <v/>
      </c>
      <c r="W54" s="113" t="str">
        <f t="shared" si="23"/>
        <v/>
      </c>
      <c r="X54" s="113" t="str">
        <f>IF(Q54&lt;&gt;"",'Νέα ΦΣ'!O46,"")</f>
        <v/>
      </c>
      <c r="Y54" s="107" t="str">
        <f t="shared" si="24"/>
        <v/>
      </c>
      <c r="AA54" s="105" t="str">
        <f t="shared" si="25"/>
        <v/>
      </c>
      <c r="AB54" s="102" t="str">
        <f t="shared" si="26"/>
        <v/>
      </c>
      <c r="AC54" s="102" t="str">
        <f t="shared" si="27"/>
        <v/>
      </c>
      <c r="AD54" s="102" t="str">
        <f t="shared" si="28"/>
        <v/>
      </c>
      <c r="AE54" s="102" t="str">
        <f t="shared" si="29"/>
        <v/>
      </c>
      <c r="AF54" s="107" t="str">
        <f t="shared" si="30"/>
        <v/>
      </c>
      <c r="AG54" s="102" t="str">
        <f t="shared" si="31"/>
        <v/>
      </c>
      <c r="AH54" s="109" t="str">
        <f t="shared" si="32"/>
        <v/>
      </c>
      <c r="AI54" s="109" t="str">
        <f>IF(AA54&lt;&gt;"",Υπολογισμοί!H49,"")</f>
        <v/>
      </c>
      <c r="AJ54" s="111" t="str">
        <f>IF(AA54&lt;&gt;"",'Γενικά Δεδομένα'!$I$4,"")</f>
        <v/>
      </c>
      <c r="AK54" s="109" t="str">
        <f t="shared" si="33"/>
        <v/>
      </c>
      <c r="AO54" s="124" t="str">
        <f t="shared" si="16"/>
        <v/>
      </c>
      <c r="AP54" s="113" t="str">
        <f t="shared" si="17"/>
        <v/>
      </c>
      <c r="AQ54" s="113" t="str">
        <f t="shared" si="18"/>
        <v/>
      </c>
      <c r="AR54" s="113" t="str">
        <f t="shared" si="19"/>
        <v/>
      </c>
      <c r="AS54" s="107" t="str">
        <f>IF(AO54&lt;&gt;"",'Νέα ΦΣ'!I46+'Νέα ΦΣ'!J46,"")</f>
        <v/>
      </c>
      <c r="AT54" s="106" t="str">
        <f>IF(AO54&lt;&gt;"",'Νέα ΦΣ'!N46,"")</f>
        <v/>
      </c>
      <c r="AU54" s="106" t="str">
        <f>IF(AO54&lt;&gt;"",Υπολογισμοί!J49,"")</f>
        <v/>
      </c>
    </row>
    <row r="55" spans="1:47" x14ac:dyDescent="0.15">
      <c r="A55" s="105" t="str">
        <f>IF('Συμβατικά ΦΣ'!B46&lt;&gt;"",'Συμβατικά ΦΣ'!C46,"")</f>
        <v/>
      </c>
      <c r="B55" s="103" t="str">
        <f>IF('Συμβατικά ΦΣ'!B46&lt;&gt;"",'Συμβατικά ΦΣ'!I46,"")</f>
        <v/>
      </c>
      <c r="C55" s="106" t="str">
        <f>IF('Συμβατικά ΦΣ'!B46&lt;&gt;"",'Συμβατικά ΦΣ'!J46,"")</f>
        <v/>
      </c>
      <c r="D55" s="107" t="str">
        <f>IF('Συμβατικά ΦΣ'!B46&lt;&gt;"",'Συμβατικά ΦΣ'!L46,"")</f>
        <v/>
      </c>
      <c r="E55" s="103" t="str">
        <f>IF('Συμβατικά ΦΣ'!B46&lt;&gt;"",'Συμβατικά ΦΣ'!K46,"")</f>
        <v/>
      </c>
      <c r="G55" s="105" t="str">
        <f t="shared" si="2"/>
        <v/>
      </c>
      <c r="H55" s="102" t="str">
        <f t="shared" si="3"/>
        <v/>
      </c>
      <c r="I55" s="106" t="str">
        <f t="shared" si="4"/>
        <v/>
      </c>
      <c r="J55" s="107" t="str">
        <f t="shared" si="5"/>
        <v/>
      </c>
      <c r="K55" s="107" t="str">
        <f t="shared" si="6"/>
        <v/>
      </c>
      <c r="L55" s="106" t="str">
        <f>IF(G55&lt;&gt;"",'Γενικά Δεδομένα'!$I$6*365,"")</f>
        <v/>
      </c>
      <c r="M55" s="109" t="str">
        <f>IF(G55&lt;&gt;"",Υπολογισμοί!G50,"")</f>
        <v/>
      </c>
      <c r="N55" s="110" t="str">
        <f>IF(G55&lt;&gt;"",'Γενικά Δεδομένα'!$I$4,"")</f>
        <v/>
      </c>
      <c r="O55" s="109" t="str">
        <f>IF(G55&lt;&gt;"",M55*'Γενικά Δεδομένα'!$I$4,"")</f>
        <v/>
      </c>
      <c r="Q55" s="120" t="str">
        <f t="shared" si="20"/>
        <v/>
      </c>
      <c r="R55" s="121" t="str">
        <f t="shared" si="21"/>
        <v/>
      </c>
      <c r="S55" s="122" t="str">
        <f t="shared" si="22"/>
        <v/>
      </c>
      <c r="T55" s="123"/>
      <c r="U55" s="124" t="str">
        <f>IF(Q55&lt;&gt;"",'Νέα ΦΣ'!D47,"")</f>
        <v/>
      </c>
      <c r="V55" s="113" t="str">
        <f>IF(Q55&lt;&gt;"",'Νέα ΦΣ'!M47,"")</f>
        <v/>
      </c>
      <c r="W55" s="113" t="str">
        <f t="shared" si="23"/>
        <v/>
      </c>
      <c r="X55" s="113" t="str">
        <f>IF(Q55&lt;&gt;"",'Νέα ΦΣ'!O47,"")</f>
        <v/>
      </c>
      <c r="Y55" s="107" t="str">
        <f t="shared" si="24"/>
        <v/>
      </c>
      <c r="AA55" s="105" t="str">
        <f t="shared" si="25"/>
        <v/>
      </c>
      <c r="AB55" s="102" t="str">
        <f t="shared" si="26"/>
        <v/>
      </c>
      <c r="AC55" s="102" t="str">
        <f t="shared" si="27"/>
        <v/>
      </c>
      <c r="AD55" s="102" t="str">
        <f t="shared" si="28"/>
        <v/>
      </c>
      <c r="AE55" s="102" t="str">
        <f t="shared" si="29"/>
        <v/>
      </c>
      <c r="AF55" s="107" t="str">
        <f t="shared" si="30"/>
        <v/>
      </c>
      <c r="AG55" s="102" t="str">
        <f t="shared" si="31"/>
        <v/>
      </c>
      <c r="AH55" s="109" t="str">
        <f t="shared" si="32"/>
        <v/>
      </c>
      <c r="AI55" s="109" t="str">
        <f>IF(AA55&lt;&gt;"",Υπολογισμοί!H50,"")</f>
        <v/>
      </c>
      <c r="AJ55" s="111" t="str">
        <f>IF(AA55&lt;&gt;"",'Γενικά Δεδομένα'!$I$4,"")</f>
        <v/>
      </c>
      <c r="AK55" s="109" t="str">
        <f t="shared" si="33"/>
        <v/>
      </c>
      <c r="AO55" s="124" t="str">
        <f t="shared" si="16"/>
        <v/>
      </c>
      <c r="AP55" s="113" t="str">
        <f t="shared" si="17"/>
        <v/>
      </c>
      <c r="AQ55" s="113" t="str">
        <f t="shared" si="18"/>
        <v/>
      </c>
      <c r="AR55" s="113" t="str">
        <f t="shared" si="19"/>
        <v/>
      </c>
      <c r="AS55" s="107" t="str">
        <f>IF(AO55&lt;&gt;"",'Νέα ΦΣ'!I47+'Νέα ΦΣ'!J47,"")</f>
        <v/>
      </c>
      <c r="AT55" s="106" t="str">
        <f>IF(AO55&lt;&gt;"",'Νέα ΦΣ'!N47,"")</f>
        <v/>
      </c>
      <c r="AU55" s="106" t="str">
        <f>IF(AO55&lt;&gt;"",Υπολογισμοί!J50,"")</f>
        <v/>
      </c>
    </row>
    <row r="56" spans="1:47" x14ac:dyDescent="0.15">
      <c r="A56" s="105" t="str">
        <f>IF('Συμβατικά ΦΣ'!B47&lt;&gt;"",'Συμβατικά ΦΣ'!C47,"")</f>
        <v/>
      </c>
      <c r="B56" s="103" t="str">
        <f>IF('Συμβατικά ΦΣ'!B47&lt;&gt;"",'Συμβατικά ΦΣ'!I47,"")</f>
        <v/>
      </c>
      <c r="C56" s="106" t="str">
        <f>IF('Συμβατικά ΦΣ'!B47&lt;&gt;"",'Συμβατικά ΦΣ'!J47,"")</f>
        <v/>
      </c>
      <c r="D56" s="107" t="str">
        <f>IF('Συμβατικά ΦΣ'!B47&lt;&gt;"",'Συμβατικά ΦΣ'!L47,"")</f>
        <v/>
      </c>
      <c r="E56" s="103" t="str">
        <f>IF('Συμβατικά ΦΣ'!B47&lt;&gt;"",'Συμβατικά ΦΣ'!K47,"")</f>
        <v/>
      </c>
      <c r="G56" s="105" t="str">
        <f t="shared" si="2"/>
        <v/>
      </c>
      <c r="H56" s="102" t="str">
        <f t="shared" si="3"/>
        <v/>
      </c>
      <c r="I56" s="106" t="str">
        <f t="shared" si="4"/>
        <v/>
      </c>
      <c r="J56" s="107" t="str">
        <f t="shared" si="5"/>
        <v/>
      </c>
      <c r="K56" s="107" t="str">
        <f t="shared" si="6"/>
        <v/>
      </c>
      <c r="L56" s="106" t="str">
        <f>IF(G56&lt;&gt;"",'Γενικά Δεδομένα'!$I$6*365,"")</f>
        <v/>
      </c>
      <c r="M56" s="109" t="str">
        <f>IF(G56&lt;&gt;"",Υπολογισμοί!G51,"")</f>
        <v/>
      </c>
      <c r="N56" s="110" t="str">
        <f>IF(G56&lt;&gt;"",'Γενικά Δεδομένα'!$I$4,"")</f>
        <v/>
      </c>
      <c r="O56" s="109" t="str">
        <f>IF(G56&lt;&gt;"",M56*'Γενικά Δεδομένα'!$I$4,"")</f>
        <v/>
      </c>
      <c r="Q56" s="120" t="str">
        <f t="shared" si="20"/>
        <v/>
      </c>
      <c r="R56" s="121" t="str">
        <f t="shared" si="21"/>
        <v/>
      </c>
      <c r="S56" s="122" t="str">
        <f t="shared" si="22"/>
        <v/>
      </c>
      <c r="T56" s="123"/>
      <c r="U56" s="124" t="str">
        <f>IF(Q56&lt;&gt;"",'Νέα ΦΣ'!D48,"")</f>
        <v/>
      </c>
      <c r="V56" s="113" t="str">
        <f>IF(Q56&lt;&gt;"",'Νέα ΦΣ'!M48,"")</f>
        <v/>
      </c>
      <c r="W56" s="113" t="str">
        <f t="shared" si="23"/>
        <v/>
      </c>
      <c r="X56" s="113" t="str">
        <f>IF(Q56&lt;&gt;"",'Νέα ΦΣ'!O48,"")</f>
        <v/>
      </c>
      <c r="Y56" s="107" t="str">
        <f t="shared" si="24"/>
        <v/>
      </c>
      <c r="AA56" s="105" t="str">
        <f t="shared" si="25"/>
        <v/>
      </c>
      <c r="AB56" s="102" t="str">
        <f t="shared" si="26"/>
        <v/>
      </c>
      <c r="AC56" s="102" t="str">
        <f t="shared" si="27"/>
        <v/>
      </c>
      <c r="AD56" s="102" t="str">
        <f t="shared" si="28"/>
        <v/>
      </c>
      <c r="AE56" s="102" t="str">
        <f t="shared" si="29"/>
        <v/>
      </c>
      <c r="AF56" s="107" t="str">
        <f t="shared" si="30"/>
        <v/>
      </c>
      <c r="AG56" s="102" t="str">
        <f t="shared" si="31"/>
        <v/>
      </c>
      <c r="AH56" s="109" t="str">
        <f t="shared" si="32"/>
        <v/>
      </c>
      <c r="AI56" s="109" t="str">
        <f>IF(AA56&lt;&gt;"",Υπολογισμοί!H51,"")</f>
        <v/>
      </c>
      <c r="AJ56" s="111" t="str">
        <f>IF(AA56&lt;&gt;"",'Γενικά Δεδομένα'!$I$4,"")</f>
        <v/>
      </c>
      <c r="AK56" s="109" t="str">
        <f t="shared" si="33"/>
        <v/>
      </c>
      <c r="AO56" s="124" t="str">
        <f t="shared" si="16"/>
        <v/>
      </c>
      <c r="AP56" s="113" t="str">
        <f t="shared" si="17"/>
        <v/>
      </c>
      <c r="AQ56" s="113" t="str">
        <f t="shared" si="18"/>
        <v/>
      </c>
      <c r="AR56" s="113" t="str">
        <f t="shared" si="19"/>
        <v/>
      </c>
      <c r="AS56" s="107" t="str">
        <f>IF(AO56&lt;&gt;"",'Νέα ΦΣ'!I48+'Νέα ΦΣ'!J48,"")</f>
        <v/>
      </c>
      <c r="AT56" s="106" t="str">
        <f>IF(AO56&lt;&gt;"",'Νέα ΦΣ'!N48,"")</f>
        <v/>
      </c>
      <c r="AU56" s="106" t="str">
        <f>IF(AO56&lt;&gt;"",Υπολογισμοί!J51,"")</f>
        <v/>
      </c>
    </row>
    <row r="57" spans="1:47" x14ac:dyDescent="0.15">
      <c r="A57" s="105" t="str">
        <f>IF('Συμβατικά ΦΣ'!B48&lt;&gt;"",'Συμβατικά ΦΣ'!C48,"")</f>
        <v/>
      </c>
      <c r="B57" s="103" t="str">
        <f>IF('Συμβατικά ΦΣ'!B48&lt;&gt;"",'Συμβατικά ΦΣ'!I48,"")</f>
        <v/>
      </c>
      <c r="C57" s="106" t="str">
        <f>IF('Συμβατικά ΦΣ'!B48&lt;&gt;"",'Συμβατικά ΦΣ'!J48,"")</f>
        <v/>
      </c>
      <c r="D57" s="107" t="str">
        <f>IF('Συμβατικά ΦΣ'!B48&lt;&gt;"",'Συμβατικά ΦΣ'!L48,"")</f>
        <v/>
      </c>
      <c r="E57" s="103" t="str">
        <f>IF('Συμβατικά ΦΣ'!B48&lt;&gt;"",'Συμβατικά ΦΣ'!K48,"")</f>
        <v/>
      </c>
      <c r="G57" s="105" t="str">
        <f t="shared" si="2"/>
        <v/>
      </c>
      <c r="H57" s="102" t="str">
        <f t="shared" si="3"/>
        <v/>
      </c>
      <c r="I57" s="106" t="str">
        <f t="shared" si="4"/>
        <v/>
      </c>
      <c r="J57" s="107" t="str">
        <f t="shared" si="5"/>
        <v/>
      </c>
      <c r="K57" s="107" t="str">
        <f t="shared" si="6"/>
        <v/>
      </c>
      <c r="L57" s="106" t="str">
        <f>IF(G57&lt;&gt;"",'Γενικά Δεδομένα'!$I$6*365,"")</f>
        <v/>
      </c>
      <c r="M57" s="109" t="str">
        <f>IF(G57&lt;&gt;"",Υπολογισμοί!G52,"")</f>
        <v/>
      </c>
      <c r="N57" s="110" t="str">
        <f>IF(G57&lt;&gt;"",'Γενικά Δεδομένα'!$I$4,"")</f>
        <v/>
      </c>
      <c r="O57" s="109" t="str">
        <f>IF(G57&lt;&gt;"",M57*'Γενικά Δεδομένα'!$I$4,"")</f>
        <v/>
      </c>
      <c r="Q57" s="120" t="str">
        <f t="shared" si="20"/>
        <v/>
      </c>
      <c r="R57" s="121" t="str">
        <f t="shared" si="21"/>
        <v/>
      </c>
      <c r="S57" s="122" t="str">
        <f t="shared" si="22"/>
        <v/>
      </c>
      <c r="T57" s="123"/>
      <c r="U57" s="124" t="str">
        <f>IF(Q57&lt;&gt;"",'Νέα ΦΣ'!D49,"")</f>
        <v/>
      </c>
      <c r="V57" s="113" t="str">
        <f>IF(Q57&lt;&gt;"",'Νέα ΦΣ'!M49,"")</f>
        <v/>
      </c>
      <c r="W57" s="113" t="str">
        <f t="shared" si="23"/>
        <v/>
      </c>
      <c r="X57" s="113" t="str">
        <f>IF(Q57&lt;&gt;"",'Νέα ΦΣ'!O49,"")</f>
        <v/>
      </c>
      <c r="Y57" s="107" t="str">
        <f t="shared" si="24"/>
        <v/>
      </c>
      <c r="AA57" s="105" t="str">
        <f t="shared" si="25"/>
        <v/>
      </c>
      <c r="AB57" s="102" t="str">
        <f t="shared" si="26"/>
        <v/>
      </c>
      <c r="AC57" s="102" t="str">
        <f t="shared" si="27"/>
        <v/>
      </c>
      <c r="AD57" s="102" t="str">
        <f t="shared" si="28"/>
        <v/>
      </c>
      <c r="AE57" s="102" t="str">
        <f t="shared" si="29"/>
        <v/>
      </c>
      <c r="AF57" s="107" t="str">
        <f t="shared" si="30"/>
        <v/>
      </c>
      <c r="AG57" s="102" t="str">
        <f t="shared" si="31"/>
        <v/>
      </c>
      <c r="AH57" s="109" t="str">
        <f t="shared" si="32"/>
        <v/>
      </c>
      <c r="AI57" s="109" t="str">
        <f>IF(AA57&lt;&gt;"",Υπολογισμοί!H52,"")</f>
        <v/>
      </c>
      <c r="AJ57" s="111" t="str">
        <f>IF(AA57&lt;&gt;"",'Γενικά Δεδομένα'!$I$4,"")</f>
        <v/>
      </c>
      <c r="AK57" s="109" t="str">
        <f t="shared" si="33"/>
        <v/>
      </c>
      <c r="AO57" s="124" t="str">
        <f t="shared" si="16"/>
        <v/>
      </c>
      <c r="AP57" s="113" t="str">
        <f t="shared" si="17"/>
        <v/>
      </c>
      <c r="AQ57" s="113" t="str">
        <f t="shared" si="18"/>
        <v/>
      </c>
      <c r="AR57" s="113" t="str">
        <f t="shared" si="19"/>
        <v/>
      </c>
      <c r="AS57" s="107" t="str">
        <f>IF(AO57&lt;&gt;"",'Νέα ΦΣ'!I49+'Νέα ΦΣ'!J49,"")</f>
        <v/>
      </c>
      <c r="AT57" s="106" t="str">
        <f>IF(AO57&lt;&gt;"",'Νέα ΦΣ'!N49,"")</f>
        <v/>
      </c>
      <c r="AU57" s="106" t="str">
        <f>IF(AO57&lt;&gt;"",Υπολογισμοί!J52,"")</f>
        <v/>
      </c>
    </row>
    <row r="58" spans="1:47" x14ac:dyDescent="0.15">
      <c r="A58" s="105" t="str">
        <f>IF('Συμβατικά ΦΣ'!B49&lt;&gt;"",'Συμβατικά ΦΣ'!C49,"")</f>
        <v/>
      </c>
      <c r="B58" s="103" t="str">
        <f>IF('Συμβατικά ΦΣ'!B49&lt;&gt;"",'Συμβατικά ΦΣ'!I49,"")</f>
        <v/>
      </c>
      <c r="C58" s="106" t="str">
        <f>IF('Συμβατικά ΦΣ'!B49&lt;&gt;"",'Συμβατικά ΦΣ'!J49,"")</f>
        <v/>
      </c>
      <c r="D58" s="107" t="str">
        <f>IF('Συμβατικά ΦΣ'!B49&lt;&gt;"",'Συμβατικά ΦΣ'!L49,"")</f>
        <v/>
      </c>
      <c r="E58" s="103" t="str">
        <f>IF('Συμβατικά ΦΣ'!B49&lt;&gt;"",'Συμβατικά ΦΣ'!K49,"")</f>
        <v/>
      </c>
      <c r="G58" s="105" t="str">
        <f t="shared" si="2"/>
        <v/>
      </c>
      <c r="H58" s="102" t="str">
        <f t="shared" si="3"/>
        <v/>
      </c>
      <c r="I58" s="106" t="str">
        <f t="shared" si="4"/>
        <v/>
      </c>
      <c r="J58" s="107" t="str">
        <f t="shared" si="5"/>
        <v/>
      </c>
      <c r="K58" s="107" t="str">
        <f t="shared" si="6"/>
        <v/>
      </c>
      <c r="L58" s="106" t="str">
        <f>IF(G58&lt;&gt;"",'Γενικά Δεδομένα'!$I$6*365,"")</f>
        <v/>
      </c>
      <c r="M58" s="109" t="str">
        <f>IF(G58&lt;&gt;"",Υπολογισμοί!G53,"")</f>
        <v/>
      </c>
      <c r="N58" s="110" t="str">
        <f>IF(G58&lt;&gt;"",'Γενικά Δεδομένα'!$I$4,"")</f>
        <v/>
      </c>
      <c r="O58" s="109" t="str">
        <f>IF(G58&lt;&gt;"",M58*'Γενικά Δεδομένα'!$I$4,"")</f>
        <v/>
      </c>
      <c r="Q58" s="120" t="str">
        <f t="shared" si="20"/>
        <v/>
      </c>
      <c r="R58" s="121" t="str">
        <f t="shared" si="21"/>
        <v/>
      </c>
      <c r="S58" s="122" t="str">
        <f t="shared" si="22"/>
        <v/>
      </c>
      <c r="T58" s="123"/>
      <c r="U58" s="124" t="str">
        <f>IF(Q58&lt;&gt;"",'Νέα ΦΣ'!D50,"")</f>
        <v/>
      </c>
      <c r="V58" s="113" t="str">
        <f>IF(Q58&lt;&gt;"",'Νέα ΦΣ'!M50,"")</f>
        <v/>
      </c>
      <c r="W58" s="113" t="str">
        <f t="shared" si="23"/>
        <v/>
      </c>
      <c r="X58" s="113" t="str">
        <f>IF(Q58&lt;&gt;"",'Νέα ΦΣ'!O50,"")</f>
        <v/>
      </c>
      <c r="Y58" s="107" t="str">
        <f t="shared" si="24"/>
        <v/>
      </c>
      <c r="AA58" s="105" t="str">
        <f t="shared" si="25"/>
        <v/>
      </c>
      <c r="AB58" s="102" t="str">
        <f t="shared" si="26"/>
        <v/>
      </c>
      <c r="AC58" s="102" t="str">
        <f t="shared" si="27"/>
        <v/>
      </c>
      <c r="AD58" s="102" t="str">
        <f t="shared" si="28"/>
        <v/>
      </c>
      <c r="AE58" s="102" t="str">
        <f t="shared" si="29"/>
        <v/>
      </c>
      <c r="AF58" s="107" t="str">
        <f t="shared" si="30"/>
        <v/>
      </c>
      <c r="AG58" s="102" t="str">
        <f t="shared" si="31"/>
        <v/>
      </c>
      <c r="AH58" s="109" t="str">
        <f t="shared" si="32"/>
        <v/>
      </c>
      <c r="AI58" s="109" t="str">
        <f>IF(AA58&lt;&gt;"",Υπολογισμοί!H53,"")</f>
        <v/>
      </c>
      <c r="AJ58" s="111" t="str">
        <f>IF(AA58&lt;&gt;"",'Γενικά Δεδομένα'!$I$4,"")</f>
        <v/>
      </c>
      <c r="AK58" s="109" t="str">
        <f t="shared" si="33"/>
        <v/>
      </c>
      <c r="AO58" s="124" t="str">
        <f t="shared" si="16"/>
        <v/>
      </c>
      <c r="AP58" s="113" t="str">
        <f t="shared" si="17"/>
        <v/>
      </c>
      <c r="AQ58" s="113" t="str">
        <f t="shared" si="18"/>
        <v/>
      </c>
      <c r="AR58" s="113" t="str">
        <f t="shared" si="19"/>
        <v/>
      </c>
      <c r="AS58" s="107" t="str">
        <f>IF(AO58&lt;&gt;"",'Νέα ΦΣ'!I50+'Νέα ΦΣ'!J50,"")</f>
        <v/>
      </c>
      <c r="AT58" s="106" t="str">
        <f>IF(AO58&lt;&gt;"",'Νέα ΦΣ'!N50,"")</f>
        <v/>
      </c>
      <c r="AU58" s="106" t="str">
        <f>IF(AO58&lt;&gt;"",Υπολογισμοί!J53,"")</f>
        <v/>
      </c>
    </row>
    <row r="59" spans="1:47" x14ac:dyDescent="0.15">
      <c r="A59" s="105" t="str">
        <f>IF('Συμβατικά ΦΣ'!B50&lt;&gt;"",'Συμβατικά ΦΣ'!C50,"")</f>
        <v/>
      </c>
      <c r="B59" s="103" t="str">
        <f>IF('Συμβατικά ΦΣ'!B50&lt;&gt;"",'Συμβατικά ΦΣ'!I50,"")</f>
        <v/>
      </c>
      <c r="C59" s="106" t="str">
        <f>IF('Συμβατικά ΦΣ'!B50&lt;&gt;"",'Συμβατικά ΦΣ'!J50,"")</f>
        <v/>
      </c>
      <c r="D59" s="107" t="str">
        <f>IF('Συμβατικά ΦΣ'!B50&lt;&gt;"",'Συμβατικά ΦΣ'!L50,"")</f>
        <v/>
      </c>
      <c r="E59" s="103" t="str">
        <f>IF('Συμβατικά ΦΣ'!B50&lt;&gt;"",'Συμβατικά ΦΣ'!K50,"")</f>
        <v/>
      </c>
      <c r="G59" s="105" t="str">
        <f t="shared" si="2"/>
        <v/>
      </c>
      <c r="H59" s="102" t="str">
        <f t="shared" si="3"/>
        <v/>
      </c>
      <c r="I59" s="106" t="str">
        <f t="shared" si="4"/>
        <v/>
      </c>
      <c r="J59" s="107" t="str">
        <f t="shared" si="5"/>
        <v/>
      </c>
      <c r="K59" s="107" t="str">
        <f t="shared" si="6"/>
        <v/>
      </c>
      <c r="L59" s="106" t="str">
        <f>IF(G59&lt;&gt;"",'Γενικά Δεδομένα'!$I$6*365,"")</f>
        <v/>
      </c>
      <c r="M59" s="109" t="str">
        <f>IF(G59&lt;&gt;"",Υπολογισμοί!G54,"")</f>
        <v/>
      </c>
      <c r="N59" s="110" t="str">
        <f>IF(G59&lt;&gt;"",'Γενικά Δεδομένα'!$I$4,"")</f>
        <v/>
      </c>
      <c r="O59" s="109" t="str">
        <f>IF(G59&lt;&gt;"",M59*'Γενικά Δεδομένα'!$I$4,"")</f>
        <v/>
      </c>
      <c r="Q59" s="120" t="str">
        <f t="shared" si="20"/>
        <v/>
      </c>
      <c r="R59" s="121" t="str">
        <f t="shared" si="21"/>
        <v/>
      </c>
      <c r="S59" s="122" t="str">
        <f t="shared" si="22"/>
        <v/>
      </c>
      <c r="T59" s="123"/>
      <c r="U59" s="124" t="str">
        <f>IF(Q59&lt;&gt;"",'Νέα ΦΣ'!D51,"")</f>
        <v/>
      </c>
      <c r="V59" s="113" t="str">
        <f>IF(Q59&lt;&gt;"",'Νέα ΦΣ'!M51,"")</f>
        <v/>
      </c>
      <c r="W59" s="113" t="str">
        <f t="shared" si="23"/>
        <v/>
      </c>
      <c r="X59" s="113" t="str">
        <f>IF(Q59&lt;&gt;"",'Νέα ΦΣ'!O51,"")</f>
        <v/>
      </c>
      <c r="Y59" s="107" t="str">
        <f t="shared" si="24"/>
        <v/>
      </c>
      <c r="AA59" s="105" t="str">
        <f t="shared" si="25"/>
        <v/>
      </c>
      <c r="AB59" s="102" t="str">
        <f t="shared" si="26"/>
        <v/>
      </c>
      <c r="AC59" s="102" t="str">
        <f t="shared" si="27"/>
        <v/>
      </c>
      <c r="AD59" s="102" t="str">
        <f t="shared" si="28"/>
        <v/>
      </c>
      <c r="AE59" s="102" t="str">
        <f t="shared" si="29"/>
        <v/>
      </c>
      <c r="AF59" s="107" t="str">
        <f t="shared" si="30"/>
        <v/>
      </c>
      <c r="AG59" s="102" t="str">
        <f t="shared" si="31"/>
        <v/>
      </c>
      <c r="AH59" s="109" t="str">
        <f t="shared" si="32"/>
        <v/>
      </c>
      <c r="AI59" s="109" t="str">
        <f>IF(AA59&lt;&gt;"",Υπολογισμοί!H54,"")</f>
        <v/>
      </c>
      <c r="AJ59" s="111" t="str">
        <f>IF(AA59&lt;&gt;"",'Γενικά Δεδομένα'!$I$4,"")</f>
        <v/>
      </c>
      <c r="AK59" s="109" t="str">
        <f t="shared" si="33"/>
        <v/>
      </c>
      <c r="AO59" s="124" t="str">
        <f t="shared" si="16"/>
        <v/>
      </c>
      <c r="AP59" s="113" t="str">
        <f t="shared" si="17"/>
        <v/>
      </c>
      <c r="AQ59" s="113" t="str">
        <f t="shared" si="18"/>
        <v/>
      </c>
      <c r="AR59" s="113" t="str">
        <f t="shared" si="19"/>
        <v/>
      </c>
      <c r="AS59" s="107" t="str">
        <f>IF(AO59&lt;&gt;"",'Νέα ΦΣ'!I51+'Νέα ΦΣ'!J51,"")</f>
        <v/>
      </c>
      <c r="AT59" s="106" t="str">
        <f>IF(AO59&lt;&gt;"",'Νέα ΦΣ'!N51,"")</f>
        <v/>
      </c>
      <c r="AU59" s="106" t="str">
        <f>IF(AO59&lt;&gt;"",Υπολογισμοί!J54,"")</f>
        <v/>
      </c>
    </row>
    <row r="60" spans="1:47" x14ac:dyDescent="0.15">
      <c r="A60" s="105" t="str">
        <f>IF('Συμβατικά ΦΣ'!B51&lt;&gt;"",'Συμβατικά ΦΣ'!C51,"")</f>
        <v/>
      </c>
      <c r="B60" s="103" t="str">
        <f>IF('Συμβατικά ΦΣ'!B51&lt;&gt;"",'Συμβατικά ΦΣ'!I51,"")</f>
        <v/>
      </c>
      <c r="C60" s="106" t="str">
        <f>IF('Συμβατικά ΦΣ'!B51&lt;&gt;"",'Συμβατικά ΦΣ'!J51,"")</f>
        <v/>
      </c>
      <c r="D60" s="107" t="str">
        <f>IF('Συμβατικά ΦΣ'!B51&lt;&gt;"",'Συμβατικά ΦΣ'!L51,"")</f>
        <v/>
      </c>
      <c r="E60" s="103" t="str">
        <f>IF('Συμβατικά ΦΣ'!B51&lt;&gt;"",'Συμβατικά ΦΣ'!K51,"")</f>
        <v/>
      </c>
      <c r="G60" s="105" t="str">
        <f t="shared" si="2"/>
        <v/>
      </c>
      <c r="H60" s="102" t="str">
        <f t="shared" si="3"/>
        <v/>
      </c>
      <c r="I60" s="106" t="str">
        <f t="shared" si="4"/>
        <v/>
      </c>
      <c r="J60" s="107" t="str">
        <f t="shared" si="5"/>
        <v/>
      </c>
      <c r="K60" s="107" t="str">
        <f t="shared" si="6"/>
        <v/>
      </c>
      <c r="L60" s="106" t="str">
        <f>IF(G60&lt;&gt;"",'Γενικά Δεδομένα'!$I$6*365,"")</f>
        <v/>
      </c>
      <c r="M60" s="109" t="str">
        <f>IF(G60&lt;&gt;"",Υπολογισμοί!G55,"")</f>
        <v/>
      </c>
      <c r="N60" s="110" t="str">
        <f>IF(G60&lt;&gt;"",'Γενικά Δεδομένα'!$I$4,"")</f>
        <v/>
      </c>
      <c r="O60" s="109" t="str">
        <f>IF(G60&lt;&gt;"",M60*'Γενικά Δεδομένα'!$I$4,"")</f>
        <v/>
      </c>
      <c r="Q60" s="120" t="str">
        <f t="shared" si="20"/>
        <v/>
      </c>
      <c r="R60" s="121" t="str">
        <f t="shared" si="21"/>
        <v/>
      </c>
      <c r="S60" s="122" t="str">
        <f t="shared" si="22"/>
        <v/>
      </c>
      <c r="T60" s="123"/>
      <c r="U60" s="124" t="str">
        <f>IF(Q60&lt;&gt;"",'Νέα ΦΣ'!D52,"")</f>
        <v/>
      </c>
      <c r="V60" s="113" t="str">
        <f>IF(Q60&lt;&gt;"",'Νέα ΦΣ'!M52,"")</f>
        <v/>
      </c>
      <c r="W60" s="113" t="str">
        <f t="shared" si="23"/>
        <v/>
      </c>
      <c r="X60" s="113" t="str">
        <f>IF(Q60&lt;&gt;"",'Νέα ΦΣ'!O52,"")</f>
        <v/>
      </c>
      <c r="Y60" s="107" t="str">
        <f t="shared" si="24"/>
        <v/>
      </c>
      <c r="AA60" s="105" t="str">
        <f t="shared" si="25"/>
        <v/>
      </c>
      <c r="AB60" s="102" t="str">
        <f t="shared" si="26"/>
        <v/>
      </c>
      <c r="AC60" s="102" t="str">
        <f t="shared" si="27"/>
        <v/>
      </c>
      <c r="AD60" s="102" t="str">
        <f t="shared" si="28"/>
        <v/>
      </c>
      <c r="AE60" s="102" t="str">
        <f t="shared" si="29"/>
        <v/>
      </c>
      <c r="AF60" s="107" t="str">
        <f t="shared" si="30"/>
        <v/>
      </c>
      <c r="AG60" s="102" t="str">
        <f t="shared" si="31"/>
        <v/>
      </c>
      <c r="AH60" s="109" t="str">
        <f t="shared" si="32"/>
        <v/>
      </c>
      <c r="AI60" s="109" t="str">
        <f>IF(AA60&lt;&gt;"",Υπολογισμοί!H55,"")</f>
        <v/>
      </c>
      <c r="AJ60" s="111" t="str">
        <f>IF(AA60&lt;&gt;"",'Γενικά Δεδομένα'!$I$4,"")</f>
        <v/>
      </c>
      <c r="AK60" s="109" t="str">
        <f t="shared" si="33"/>
        <v/>
      </c>
      <c r="AO60" s="124" t="str">
        <f t="shared" si="16"/>
        <v/>
      </c>
      <c r="AP60" s="113" t="str">
        <f t="shared" si="17"/>
        <v/>
      </c>
      <c r="AQ60" s="113" t="str">
        <f t="shared" si="18"/>
        <v/>
      </c>
      <c r="AR60" s="113" t="str">
        <f t="shared" si="19"/>
        <v/>
      </c>
      <c r="AS60" s="107" t="str">
        <f>IF(AO60&lt;&gt;"",'Νέα ΦΣ'!I52+'Νέα ΦΣ'!J52,"")</f>
        <v/>
      </c>
      <c r="AT60" s="106" t="str">
        <f>IF(AO60&lt;&gt;"",'Νέα ΦΣ'!N52,"")</f>
        <v/>
      </c>
      <c r="AU60" s="106" t="str">
        <f>IF(AO60&lt;&gt;"",Υπολογισμοί!J55,"")</f>
        <v/>
      </c>
    </row>
    <row r="61" spans="1:47" x14ac:dyDescent="0.15">
      <c r="A61" s="105" t="str">
        <f>IF('Συμβατικά ΦΣ'!B52&lt;&gt;"",'Συμβατικά ΦΣ'!C52,"")</f>
        <v/>
      </c>
      <c r="B61" s="103" t="str">
        <f>IF('Συμβατικά ΦΣ'!B52&lt;&gt;"",'Συμβατικά ΦΣ'!I52,"")</f>
        <v/>
      </c>
      <c r="C61" s="106" t="str">
        <f>IF('Συμβατικά ΦΣ'!B52&lt;&gt;"",'Συμβατικά ΦΣ'!J52,"")</f>
        <v/>
      </c>
      <c r="D61" s="107" t="str">
        <f>IF('Συμβατικά ΦΣ'!B52&lt;&gt;"",'Συμβατικά ΦΣ'!L52,"")</f>
        <v/>
      </c>
      <c r="E61" s="103" t="str">
        <f>IF('Συμβατικά ΦΣ'!B52&lt;&gt;"",'Συμβατικά ΦΣ'!K52,"")</f>
        <v/>
      </c>
      <c r="G61" s="105" t="str">
        <f t="shared" si="2"/>
        <v/>
      </c>
      <c r="H61" s="102" t="str">
        <f t="shared" si="3"/>
        <v/>
      </c>
      <c r="I61" s="106" t="str">
        <f t="shared" si="4"/>
        <v/>
      </c>
      <c r="J61" s="107" t="str">
        <f t="shared" si="5"/>
        <v/>
      </c>
      <c r="K61" s="107" t="str">
        <f t="shared" si="6"/>
        <v/>
      </c>
      <c r="L61" s="106" t="str">
        <f>IF(G61&lt;&gt;"",'Γενικά Δεδομένα'!$I$6*365,"")</f>
        <v/>
      </c>
      <c r="M61" s="109" t="str">
        <f>IF(G61&lt;&gt;"",Υπολογισμοί!G56,"")</f>
        <v/>
      </c>
      <c r="N61" s="110" t="str">
        <f>IF(G61&lt;&gt;"",'Γενικά Δεδομένα'!$I$4,"")</f>
        <v/>
      </c>
      <c r="O61" s="109" t="str">
        <f>IF(G61&lt;&gt;"",M61*'Γενικά Δεδομένα'!$I$4,"")</f>
        <v/>
      </c>
      <c r="Q61" s="120" t="str">
        <f t="shared" si="20"/>
        <v/>
      </c>
      <c r="R61" s="121" t="str">
        <f t="shared" si="21"/>
        <v/>
      </c>
      <c r="S61" s="122" t="str">
        <f t="shared" si="22"/>
        <v/>
      </c>
      <c r="T61" s="123"/>
      <c r="U61" s="124" t="str">
        <f>IF(Q61&lt;&gt;"",'Νέα ΦΣ'!D53,"")</f>
        <v/>
      </c>
      <c r="V61" s="113" t="str">
        <f>IF(Q61&lt;&gt;"",'Νέα ΦΣ'!M53,"")</f>
        <v/>
      </c>
      <c r="W61" s="113" t="str">
        <f t="shared" si="23"/>
        <v/>
      </c>
      <c r="X61" s="113" t="str">
        <f>IF(Q61&lt;&gt;"",'Νέα ΦΣ'!O53,"")</f>
        <v/>
      </c>
      <c r="Y61" s="107" t="str">
        <f t="shared" si="24"/>
        <v/>
      </c>
      <c r="AA61" s="105" t="str">
        <f t="shared" si="25"/>
        <v/>
      </c>
      <c r="AB61" s="102" t="str">
        <f t="shared" si="26"/>
        <v/>
      </c>
      <c r="AC61" s="102" t="str">
        <f t="shared" si="27"/>
        <v/>
      </c>
      <c r="AD61" s="102" t="str">
        <f t="shared" si="28"/>
        <v/>
      </c>
      <c r="AE61" s="102" t="str">
        <f t="shared" si="29"/>
        <v/>
      </c>
      <c r="AF61" s="107" t="str">
        <f t="shared" si="30"/>
        <v/>
      </c>
      <c r="AG61" s="102" t="str">
        <f t="shared" si="31"/>
        <v/>
      </c>
      <c r="AH61" s="109" t="str">
        <f t="shared" si="32"/>
        <v/>
      </c>
      <c r="AI61" s="109" t="str">
        <f>IF(AA61&lt;&gt;"",Υπολογισμοί!H56,"")</f>
        <v/>
      </c>
      <c r="AJ61" s="111" t="str">
        <f>IF(AA61&lt;&gt;"",'Γενικά Δεδομένα'!$I$4,"")</f>
        <v/>
      </c>
      <c r="AK61" s="109" t="str">
        <f t="shared" si="33"/>
        <v/>
      </c>
      <c r="AO61" s="124" t="str">
        <f t="shared" si="16"/>
        <v/>
      </c>
      <c r="AP61" s="113" t="str">
        <f t="shared" si="17"/>
        <v/>
      </c>
      <c r="AQ61" s="113" t="str">
        <f t="shared" si="18"/>
        <v/>
      </c>
      <c r="AR61" s="113" t="str">
        <f t="shared" si="19"/>
        <v/>
      </c>
      <c r="AS61" s="107" t="str">
        <f>IF(AO61&lt;&gt;"",'Νέα ΦΣ'!I53+'Νέα ΦΣ'!J53,"")</f>
        <v/>
      </c>
      <c r="AT61" s="106" t="str">
        <f>IF(AO61&lt;&gt;"",'Νέα ΦΣ'!N53,"")</f>
        <v/>
      </c>
      <c r="AU61" s="106" t="str">
        <f>IF(AO61&lt;&gt;"",Υπολογισμοί!J56,"")</f>
        <v/>
      </c>
    </row>
    <row r="62" spans="1:47" x14ac:dyDescent="0.15">
      <c r="A62" s="105" t="str">
        <f>IF('Συμβατικά ΦΣ'!B53&lt;&gt;"",'Συμβατικά ΦΣ'!C53,"")</f>
        <v/>
      </c>
      <c r="B62" s="103" t="str">
        <f>IF('Συμβατικά ΦΣ'!B53&lt;&gt;"",'Συμβατικά ΦΣ'!I53,"")</f>
        <v/>
      </c>
      <c r="C62" s="106" t="str">
        <f>IF('Συμβατικά ΦΣ'!B53&lt;&gt;"",'Συμβατικά ΦΣ'!J53,"")</f>
        <v/>
      </c>
      <c r="D62" s="107" t="str">
        <f>IF('Συμβατικά ΦΣ'!B53&lt;&gt;"",'Συμβατικά ΦΣ'!L53,"")</f>
        <v/>
      </c>
      <c r="E62" s="103" t="str">
        <f>IF('Συμβατικά ΦΣ'!B53&lt;&gt;"",'Συμβατικά ΦΣ'!K53,"")</f>
        <v/>
      </c>
      <c r="G62" s="105" t="str">
        <f t="shared" si="2"/>
        <v/>
      </c>
      <c r="H62" s="102" t="str">
        <f t="shared" si="3"/>
        <v/>
      </c>
      <c r="I62" s="106" t="str">
        <f t="shared" si="4"/>
        <v/>
      </c>
      <c r="J62" s="107" t="str">
        <f t="shared" si="5"/>
        <v/>
      </c>
      <c r="K62" s="107" t="str">
        <f t="shared" si="6"/>
        <v/>
      </c>
      <c r="L62" s="106" t="str">
        <f>IF(G62&lt;&gt;"",'Γενικά Δεδομένα'!$I$6*365,"")</f>
        <v/>
      </c>
      <c r="M62" s="109" t="str">
        <f>IF(G62&lt;&gt;"",Υπολογισμοί!G57,"")</f>
        <v/>
      </c>
      <c r="N62" s="110" t="str">
        <f>IF(G62&lt;&gt;"",'Γενικά Δεδομένα'!$I$4,"")</f>
        <v/>
      </c>
      <c r="O62" s="109" t="str">
        <f>IF(G62&lt;&gt;"",M62*'Γενικά Δεδομένα'!$I$4,"")</f>
        <v/>
      </c>
      <c r="Q62" s="120" t="str">
        <f t="shared" si="20"/>
        <v/>
      </c>
      <c r="R62" s="121" t="str">
        <f t="shared" si="21"/>
        <v/>
      </c>
      <c r="S62" s="122" t="str">
        <f t="shared" si="22"/>
        <v/>
      </c>
      <c r="T62" s="123"/>
      <c r="U62" s="124" t="str">
        <f>IF(Q62&lt;&gt;"",'Νέα ΦΣ'!D54,"")</f>
        <v/>
      </c>
      <c r="V62" s="113" t="str">
        <f>IF(Q62&lt;&gt;"",'Νέα ΦΣ'!M54,"")</f>
        <v/>
      </c>
      <c r="W62" s="113" t="str">
        <f t="shared" si="23"/>
        <v/>
      </c>
      <c r="X62" s="113" t="str">
        <f>IF(Q62&lt;&gt;"",'Νέα ΦΣ'!O54,"")</f>
        <v/>
      </c>
      <c r="Y62" s="107" t="str">
        <f t="shared" si="24"/>
        <v/>
      </c>
      <c r="AA62" s="105" t="str">
        <f t="shared" si="25"/>
        <v/>
      </c>
      <c r="AB62" s="102" t="str">
        <f t="shared" si="26"/>
        <v/>
      </c>
      <c r="AC62" s="102" t="str">
        <f t="shared" si="27"/>
        <v/>
      </c>
      <c r="AD62" s="102" t="str">
        <f t="shared" si="28"/>
        <v/>
      </c>
      <c r="AE62" s="102" t="str">
        <f t="shared" si="29"/>
        <v/>
      </c>
      <c r="AF62" s="107" t="str">
        <f t="shared" si="30"/>
        <v/>
      </c>
      <c r="AG62" s="102" t="str">
        <f t="shared" si="31"/>
        <v/>
      </c>
      <c r="AH62" s="109" t="str">
        <f t="shared" si="32"/>
        <v/>
      </c>
      <c r="AI62" s="109" t="str">
        <f>IF(AA62&lt;&gt;"",Υπολογισμοί!H57,"")</f>
        <v/>
      </c>
      <c r="AJ62" s="111" t="str">
        <f>IF(AA62&lt;&gt;"",'Γενικά Δεδομένα'!$I$4,"")</f>
        <v/>
      </c>
      <c r="AK62" s="109" t="str">
        <f t="shared" si="33"/>
        <v/>
      </c>
      <c r="AO62" s="124" t="str">
        <f t="shared" si="16"/>
        <v/>
      </c>
      <c r="AP62" s="113" t="str">
        <f t="shared" si="17"/>
        <v/>
      </c>
      <c r="AQ62" s="113" t="str">
        <f t="shared" si="18"/>
        <v/>
      </c>
      <c r="AR62" s="113" t="str">
        <f t="shared" si="19"/>
        <v/>
      </c>
      <c r="AS62" s="107" t="str">
        <f>IF(AO62&lt;&gt;"",'Νέα ΦΣ'!I54+'Νέα ΦΣ'!J54,"")</f>
        <v/>
      </c>
      <c r="AT62" s="106" t="str">
        <f>IF(AO62&lt;&gt;"",'Νέα ΦΣ'!N54,"")</f>
        <v/>
      </c>
      <c r="AU62" s="106" t="str">
        <f>IF(AO62&lt;&gt;"",Υπολογισμοί!J57,"")</f>
        <v/>
      </c>
    </row>
    <row r="63" spans="1:47" x14ac:dyDescent="0.15">
      <c r="A63" s="105" t="str">
        <f>IF('Συμβατικά ΦΣ'!B54&lt;&gt;"",'Συμβατικά ΦΣ'!C54,"")</f>
        <v/>
      </c>
      <c r="B63" s="103" t="str">
        <f>IF('Συμβατικά ΦΣ'!B54&lt;&gt;"",'Συμβατικά ΦΣ'!I54,"")</f>
        <v/>
      </c>
      <c r="C63" s="106" t="str">
        <f>IF('Συμβατικά ΦΣ'!B54&lt;&gt;"",'Συμβατικά ΦΣ'!J54,"")</f>
        <v/>
      </c>
      <c r="D63" s="107" t="str">
        <f>IF('Συμβατικά ΦΣ'!B54&lt;&gt;"",'Συμβατικά ΦΣ'!L54,"")</f>
        <v/>
      </c>
      <c r="E63" s="103" t="str">
        <f>IF('Συμβατικά ΦΣ'!B54&lt;&gt;"",'Συμβατικά ΦΣ'!K54,"")</f>
        <v/>
      </c>
      <c r="G63" s="105" t="str">
        <f t="shared" si="2"/>
        <v/>
      </c>
      <c r="H63" s="102" t="str">
        <f t="shared" si="3"/>
        <v/>
      </c>
      <c r="I63" s="106" t="str">
        <f t="shared" si="4"/>
        <v/>
      </c>
      <c r="J63" s="107" t="str">
        <f t="shared" si="5"/>
        <v/>
      </c>
      <c r="K63" s="107" t="str">
        <f t="shared" si="6"/>
        <v/>
      </c>
      <c r="L63" s="106" t="str">
        <f>IF(G63&lt;&gt;"",'Γενικά Δεδομένα'!$I$6*365,"")</f>
        <v/>
      </c>
      <c r="M63" s="109" t="str">
        <f>IF(G63&lt;&gt;"",Υπολογισμοί!G58,"")</f>
        <v/>
      </c>
      <c r="N63" s="110" t="str">
        <f>IF(G63&lt;&gt;"",'Γενικά Δεδομένα'!$I$4,"")</f>
        <v/>
      </c>
      <c r="O63" s="109" t="str">
        <f>IF(G63&lt;&gt;"",M63*'Γενικά Δεδομένα'!$I$4,"")</f>
        <v/>
      </c>
      <c r="Q63" s="120" t="str">
        <f t="shared" si="20"/>
        <v/>
      </c>
      <c r="R63" s="121" t="str">
        <f t="shared" si="21"/>
        <v/>
      </c>
      <c r="S63" s="122" t="str">
        <f t="shared" si="22"/>
        <v/>
      </c>
      <c r="T63" s="123"/>
      <c r="U63" s="124" t="str">
        <f>IF(Q63&lt;&gt;"",'Νέα ΦΣ'!D55,"")</f>
        <v/>
      </c>
      <c r="V63" s="113" t="str">
        <f>IF(Q63&lt;&gt;"",'Νέα ΦΣ'!M55,"")</f>
        <v/>
      </c>
      <c r="W63" s="113" t="str">
        <f t="shared" si="23"/>
        <v/>
      </c>
      <c r="X63" s="113" t="str">
        <f>IF(Q63&lt;&gt;"",'Νέα ΦΣ'!O55,"")</f>
        <v/>
      </c>
      <c r="Y63" s="107" t="str">
        <f t="shared" si="24"/>
        <v/>
      </c>
      <c r="AA63" s="105" t="str">
        <f t="shared" si="25"/>
        <v/>
      </c>
      <c r="AB63" s="102" t="str">
        <f t="shared" si="26"/>
        <v/>
      </c>
      <c r="AC63" s="102" t="str">
        <f t="shared" si="27"/>
        <v/>
      </c>
      <c r="AD63" s="102" t="str">
        <f t="shared" si="28"/>
        <v/>
      </c>
      <c r="AE63" s="102" t="str">
        <f t="shared" si="29"/>
        <v/>
      </c>
      <c r="AF63" s="107" t="str">
        <f t="shared" si="30"/>
        <v/>
      </c>
      <c r="AG63" s="102" t="str">
        <f t="shared" si="31"/>
        <v/>
      </c>
      <c r="AH63" s="109" t="str">
        <f t="shared" si="32"/>
        <v/>
      </c>
      <c r="AI63" s="109" t="str">
        <f>IF(AA63&lt;&gt;"",Υπολογισμοί!H58,"")</f>
        <v/>
      </c>
      <c r="AJ63" s="111" t="str">
        <f>IF(AA63&lt;&gt;"",'Γενικά Δεδομένα'!$I$4,"")</f>
        <v/>
      </c>
      <c r="AK63" s="109" t="str">
        <f t="shared" si="33"/>
        <v/>
      </c>
      <c r="AO63" s="124" t="str">
        <f t="shared" si="16"/>
        <v/>
      </c>
      <c r="AP63" s="113" t="str">
        <f t="shared" si="17"/>
        <v/>
      </c>
      <c r="AQ63" s="113" t="str">
        <f t="shared" si="18"/>
        <v/>
      </c>
      <c r="AR63" s="113" t="str">
        <f t="shared" si="19"/>
        <v/>
      </c>
      <c r="AS63" s="107" t="str">
        <f>IF(AO63&lt;&gt;"",'Νέα ΦΣ'!I55+'Νέα ΦΣ'!J55,"")</f>
        <v/>
      </c>
      <c r="AT63" s="106" t="str">
        <f>IF(AO63&lt;&gt;"",'Νέα ΦΣ'!N55,"")</f>
        <v/>
      </c>
      <c r="AU63" s="106" t="str">
        <f>IF(AO63&lt;&gt;"",Υπολογισμοί!J58,"")</f>
        <v/>
      </c>
    </row>
    <row r="64" spans="1:47" x14ac:dyDescent="0.15">
      <c r="A64" s="105" t="str">
        <f>IF('Συμβατικά ΦΣ'!B55&lt;&gt;"",'Συμβατικά ΦΣ'!C55,"")</f>
        <v/>
      </c>
      <c r="B64" s="103" t="str">
        <f>IF('Συμβατικά ΦΣ'!B55&lt;&gt;"",'Συμβατικά ΦΣ'!I55,"")</f>
        <v/>
      </c>
      <c r="C64" s="106" t="str">
        <f>IF('Συμβατικά ΦΣ'!B55&lt;&gt;"",'Συμβατικά ΦΣ'!J55,"")</f>
        <v/>
      </c>
      <c r="D64" s="107" t="str">
        <f>IF('Συμβατικά ΦΣ'!B55&lt;&gt;"",'Συμβατικά ΦΣ'!L55,"")</f>
        <v/>
      </c>
      <c r="E64" s="103" t="str">
        <f>IF('Συμβατικά ΦΣ'!B55&lt;&gt;"",'Συμβατικά ΦΣ'!K55,"")</f>
        <v/>
      </c>
      <c r="G64" s="105" t="str">
        <f t="shared" si="2"/>
        <v/>
      </c>
      <c r="H64" s="102" t="str">
        <f t="shared" si="3"/>
        <v/>
      </c>
      <c r="I64" s="106" t="str">
        <f t="shared" si="4"/>
        <v/>
      </c>
      <c r="J64" s="107" t="str">
        <f t="shared" si="5"/>
        <v/>
      </c>
      <c r="K64" s="107" t="str">
        <f t="shared" si="6"/>
        <v/>
      </c>
      <c r="L64" s="106" t="str">
        <f>IF(G64&lt;&gt;"",'Γενικά Δεδομένα'!$I$6*365,"")</f>
        <v/>
      </c>
      <c r="M64" s="109" t="str">
        <f>IF(G64&lt;&gt;"",Υπολογισμοί!G59,"")</f>
        <v/>
      </c>
      <c r="N64" s="110" t="str">
        <f>IF(G64&lt;&gt;"",'Γενικά Δεδομένα'!$I$4,"")</f>
        <v/>
      </c>
      <c r="O64" s="109" t="str">
        <f>IF(G64&lt;&gt;"",M64*'Γενικά Δεδομένα'!$I$4,"")</f>
        <v/>
      </c>
      <c r="Q64" s="120" t="str">
        <f t="shared" si="20"/>
        <v/>
      </c>
      <c r="R64" s="121" t="str">
        <f t="shared" si="21"/>
        <v/>
      </c>
      <c r="S64" s="122" t="str">
        <f t="shared" si="22"/>
        <v/>
      </c>
      <c r="T64" s="123"/>
      <c r="U64" s="124" t="str">
        <f>IF(Q64&lt;&gt;"",'Νέα ΦΣ'!D56,"")</f>
        <v/>
      </c>
      <c r="V64" s="113" t="str">
        <f>IF(Q64&lt;&gt;"",'Νέα ΦΣ'!M56,"")</f>
        <v/>
      </c>
      <c r="W64" s="113" t="str">
        <f t="shared" si="23"/>
        <v/>
      </c>
      <c r="X64" s="113" t="str">
        <f>IF(Q64&lt;&gt;"",'Νέα ΦΣ'!O56,"")</f>
        <v/>
      </c>
      <c r="Y64" s="107" t="str">
        <f t="shared" si="24"/>
        <v/>
      </c>
      <c r="AA64" s="105" t="str">
        <f t="shared" si="25"/>
        <v/>
      </c>
      <c r="AB64" s="102" t="str">
        <f t="shared" si="26"/>
        <v/>
      </c>
      <c r="AC64" s="102" t="str">
        <f t="shared" si="27"/>
        <v/>
      </c>
      <c r="AD64" s="102" t="str">
        <f t="shared" si="28"/>
        <v/>
      </c>
      <c r="AE64" s="102" t="str">
        <f t="shared" si="29"/>
        <v/>
      </c>
      <c r="AF64" s="107" t="str">
        <f t="shared" si="30"/>
        <v/>
      </c>
      <c r="AG64" s="102" t="str">
        <f t="shared" si="31"/>
        <v/>
      </c>
      <c r="AH64" s="109" t="str">
        <f t="shared" si="32"/>
        <v/>
      </c>
      <c r="AI64" s="109" t="str">
        <f>IF(AA64&lt;&gt;"",Υπολογισμοί!H59,"")</f>
        <v/>
      </c>
      <c r="AJ64" s="111" t="str">
        <f>IF(AA64&lt;&gt;"",'Γενικά Δεδομένα'!$I$4,"")</f>
        <v/>
      </c>
      <c r="AK64" s="109" t="str">
        <f t="shared" si="33"/>
        <v/>
      </c>
      <c r="AO64" s="124" t="str">
        <f t="shared" si="16"/>
        <v/>
      </c>
      <c r="AP64" s="113" t="str">
        <f t="shared" si="17"/>
        <v/>
      </c>
      <c r="AQ64" s="113" t="str">
        <f t="shared" si="18"/>
        <v/>
      </c>
      <c r="AR64" s="113" t="str">
        <f t="shared" si="19"/>
        <v/>
      </c>
      <c r="AS64" s="107" t="str">
        <f>IF(AO64&lt;&gt;"",'Νέα ΦΣ'!I56+'Νέα ΦΣ'!J56,"")</f>
        <v/>
      </c>
      <c r="AT64" s="106" t="str">
        <f>IF(AO64&lt;&gt;"",'Νέα ΦΣ'!N56,"")</f>
        <v/>
      </c>
      <c r="AU64" s="106" t="str">
        <f>IF(AO64&lt;&gt;"",Υπολογισμοί!J59,"")</f>
        <v/>
      </c>
    </row>
    <row r="65" spans="1:47" x14ac:dyDescent="0.15">
      <c r="A65" s="105" t="str">
        <f>IF('Συμβατικά ΦΣ'!B56&lt;&gt;"",'Συμβατικά ΦΣ'!C56,"")</f>
        <v/>
      </c>
      <c r="B65" s="103" t="str">
        <f>IF('Συμβατικά ΦΣ'!B56&lt;&gt;"",'Συμβατικά ΦΣ'!I56,"")</f>
        <v/>
      </c>
      <c r="C65" s="106" t="str">
        <f>IF('Συμβατικά ΦΣ'!B56&lt;&gt;"",'Συμβατικά ΦΣ'!J56,"")</f>
        <v/>
      </c>
      <c r="D65" s="107" t="str">
        <f>IF('Συμβατικά ΦΣ'!B56&lt;&gt;"",'Συμβατικά ΦΣ'!L56,"")</f>
        <v/>
      </c>
      <c r="E65" s="103" t="str">
        <f>IF('Συμβατικά ΦΣ'!B56&lt;&gt;"",'Συμβατικά ΦΣ'!K56,"")</f>
        <v/>
      </c>
      <c r="G65" s="105" t="str">
        <f t="shared" si="2"/>
        <v/>
      </c>
      <c r="H65" s="102" t="str">
        <f t="shared" si="3"/>
        <v/>
      </c>
      <c r="I65" s="106" t="str">
        <f t="shared" si="4"/>
        <v/>
      </c>
      <c r="J65" s="107" t="str">
        <f t="shared" si="5"/>
        <v/>
      </c>
      <c r="K65" s="107" t="str">
        <f t="shared" si="6"/>
        <v/>
      </c>
      <c r="L65" s="106" t="str">
        <f>IF(G65&lt;&gt;"",'Γενικά Δεδομένα'!$I$6*365,"")</f>
        <v/>
      </c>
      <c r="M65" s="109" t="str">
        <f>IF(G65&lt;&gt;"",Υπολογισμοί!G60,"")</f>
        <v/>
      </c>
      <c r="N65" s="110" t="str">
        <f>IF(G65&lt;&gt;"",'Γενικά Δεδομένα'!$I$4,"")</f>
        <v/>
      </c>
      <c r="O65" s="109" t="str">
        <f>IF(G65&lt;&gt;"",M65*'Γενικά Δεδομένα'!$I$4,"")</f>
        <v/>
      </c>
      <c r="Q65" s="120" t="str">
        <f t="shared" si="20"/>
        <v/>
      </c>
      <c r="R65" s="121" t="str">
        <f t="shared" si="21"/>
        <v/>
      </c>
      <c r="S65" s="122" t="str">
        <f t="shared" si="22"/>
        <v/>
      </c>
      <c r="T65" s="123"/>
      <c r="U65" s="124" t="str">
        <f>IF(Q65&lt;&gt;"",'Νέα ΦΣ'!D57,"")</f>
        <v/>
      </c>
      <c r="V65" s="113" t="str">
        <f>IF(Q65&lt;&gt;"",'Νέα ΦΣ'!M57,"")</f>
        <v/>
      </c>
      <c r="W65" s="113" t="str">
        <f t="shared" si="23"/>
        <v/>
      </c>
      <c r="X65" s="113" t="str">
        <f>IF(Q65&lt;&gt;"",'Νέα ΦΣ'!O57,"")</f>
        <v/>
      </c>
      <c r="Y65" s="107" t="str">
        <f t="shared" si="24"/>
        <v/>
      </c>
      <c r="AA65" s="105" t="str">
        <f t="shared" si="25"/>
        <v/>
      </c>
      <c r="AB65" s="102" t="str">
        <f t="shared" si="26"/>
        <v/>
      </c>
      <c r="AC65" s="102" t="str">
        <f t="shared" si="27"/>
        <v/>
      </c>
      <c r="AD65" s="102" t="str">
        <f t="shared" si="28"/>
        <v/>
      </c>
      <c r="AE65" s="102" t="str">
        <f t="shared" si="29"/>
        <v/>
      </c>
      <c r="AF65" s="107" t="str">
        <f t="shared" si="30"/>
        <v/>
      </c>
      <c r="AG65" s="102" t="str">
        <f t="shared" si="31"/>
        <v/>
      </c>
      <c r="AH65" s="109" t="str">
        <f t="shared" si="32"/>
        <v/>
      </c>
      <c r="AI65" s="109" t="str">
        <f>IF(AA65&lt;&gt;"",Υπολογισμοί!H60,"")</f>
        <v/>
      </c>
      <c r="AJ65" s="111" t="str">
        <f>IF(AA65&lt;&gt;"",'Γενικά Δεδομένα'!$I$4,"")</f>
        <v/>
      </c>
      <c r="AK65" s="109" t="str">
        <f t="shared" si="33"/>
        <v/>
      </c>
      <c r="AO65" s="124" t="str">
        <f t="shared" si="16"/>
        <v/>
      </c>
      <c r="AP65" s="113" t="str">
        <f t="shared" si="17"/>
        <v/>
      </c>
      <c r="AQ65" s="113" t="str">
        <f t="shared" si="18"/>
        <v/>
      </c>
      <c r="AR65" s="113" t="str">
        <f t="shared" si="19"/>
        <v/>
      </c>
      <c r="AS65" s="107" t="str">
        <f>IF(AO65&lt;&gt;"",'Νέα ΦΣ'!I57+'Νέα ΦΣ'!J57,"")</f>
        <v/>
      </c>
      <c r="AT65" s="106" t="str">
        <f>IF(AO65&lt;&gt;"",'Νέα ΦΣ'!N57,"")</f>
        <v/>
      </c>
      <c r="AU65" s="106" t="str">
        <f>IF(AO65&lt;&gt;"",Υπολογισμοί!J60,"")</f>
        <v/>
      </c>
    </row>
    <row r="66" spans="1:47" x14ac:dyDescent="0.15">
      <c r="A66" s="105" t="str">
        <f>IF('Συμβατικά ΦΣ'!B57&lt;&gt;"",'Συμβατικά ΦΣ'!C57,"")</f>
        <v/>
      </c>
      <c r="B66" s="103" t="str">
        <f>IF('Συμβατικά ΦΣ'!B57&lt;&gt;"",'Συμβατικά ΦΣ'!I57,"")</f>
        <v/>
      </c>
      <c r="C66" s="106" t="str">
        <f>IF('Συμβατικά ΦΣ'!B57&lt;&gt;"",'Συμβατικά ΦΣ'!J57,"")</f>
        <v/>
      </c>
      <c r="D66" s="107" t="str">
        <f>IF('Συμβατικά ΦΣ'!B57&lt;&gt;"",'Συμβατικά ΦΣ'!L57,"")</f>
        <v/>
      </c>
      <c r="E66" s="103" t="str">
        <f>IF('Συμβατικά ΦΣ'!B57&lt;&gt;"",'Συμβατικά ΦΣ'!K57,"")</f>
        <v/>
      </c>
      <c r="G66" s="105" t="str">
        <f t="shared" si="2"/>
        <v/>
      </c>
      <c r="H66" s="102" t="str">
        <f t="shared" si="3"/>
        <v/>
      </c>
      <c r="I66" s="106" t="str">
        <f t="shared" si="4"/>
        <v/>
      </c>
      <c r="J66" s="107" t="str">
        <f t="shared" si="5"/>
        <v/>
      </c>
      <c r="K66" s="107" t="str">
        <f t="shared" si="6"/>
        <v/>
      </c>
      <c r="L66" s="106" t="str">
        <f>IF(G66&lt;&gt;"",'Γενικά Δεδομένα'!$I$6*365,"")</f>
        <v/>
      </c>
      <c r="M66" s="109" t="str">
        <f>IF(G66&lt;&gt;"",Υπολογισμοί!G61,"")</f>
        <v/>
      </c>
      <c r="N66" s="110" t="str">
        <f>IF(G66&lt;&gt;"",'Γενικά Δεδομένα'!$I$4,"")</f>
        <v/>
      </c>
      <c r="O66" s="109" t="str">
        <f>IF(G66&lt;&gt;"",M66*'Γενικά Δεδομένα'!$I$4,"")</f>
        <v/>
      </c>
      <c r="Q66" s="120" t="str">
        <f t="shared" si="20"/>
        <v/>
      </c>
      <c r="R66" s="121" t="str">
        <f t="shared" si="21"/>
        <v/>
      </c>
      <c r="S66" s="122" t="str">
        <f t="shared" si="22"/>
        <v/>
      </c>
      <c r="T66" s="123"/>
      <c r="U66" s="124" t="str">
        <f>IF(Q66&lt;&gt;"",'Νέα ΦΣ'!D58,"")</f>
        <v/>
      </c>
      <c r="V66" s="113" t="str">
        <f>IF(Q66&lt;&gt;"",'Νέα ΦΣ'!M58,"")</f>
        <v/>
      </c>
      <c r="W66" s="113" t="str">
        <f t="shared" si="23"/>
        <v/>
      </c>
      <c r="X66" s="113" t="str">
        <f>IF(Q66&lt;&gt;"",'Νέα ΦΣ'!O58,"")</f>
        <v/>
      </c>
      <c r="Y66" s="107" t="str">
        <f t="shared" si="24"/>
        <v/>
      </c>
      <c r="AA66" s="105" t="str">
        <f t="shared" si="25"/>
        <v/>
      </c>
      <c r="AB66" s="102" t="str">
        <f t="shared" si="26"/>
        <v/>
      </c>
      <c r="AC66" s="102" t="str">
        <f t="shared" si="27"/>
        <v/>
      </c>
      <c r="AD66" s="102" t="str">
        <f t="shared" si="28"/>
        <v/>
      </c>
      <c r="AE66" s="102" t="str">
        <f t="shared" si="29"/>
        <v/>
      </c>
      <c r="AF66" s="107" t="str">
        <f t="shared" si="30"/>
        <v/>
      </c>
      <c r="AG66" s="102" t="str">
        <f t="shared" si="31"/>
        <v/>
      </c>
      <c r="AH66" s="109" t="str">
        <f t="shared" si="32"/>
        <v/>
      </c>
      <c r="AI66" s="109" t="str">
        <f>IF(AA66&lt;&gt;"",Υπολογισμοί!H61,"")</f>
        <v/>
      </c>
      <c r="AJ66" s="111" t="str">
        <f>IF(AA66&lt;&gt;"",'Γενικά Δεδομένα'!$I$4,"")</f>
        <v/>
      </c>
      <c r="AK66" s="109" t="str">
        <f t="shared" si="33"/>
        <v/>
      </c>
      <c r="AO66" s="124" t="str">
        <f t="shared" si="16"/>
        <v/>
      </c>
      <c r="AP66" s="113" t="str">
        <f t="shared" si="17"/>
        <v/>
      </c>
      <c r="AQ66" s="113" t="str">
        <f t="shared" si="18"/>
        <v/>
      </c>
      <c r="AR66" s="113" t="str">
        <f t="shared" si="19"/>
        <v/>
      </c>
      <c r="AS66" s="107" t="str">
        <f>IF(AO66&lt;&gt;"",'Νέα ΦΣ'!I58+'Νέα ΦΣ'!J58,"")</f>
        <v/>
      </c>
      <c r="AT66" s="106" t="str">
        <f>IF(AO66&lt;&gt;"",'Νέα ΦΣ'!N58,"")</f>
        <v/>
      </c>
      <c r="AU66" s="106" t="str">
        <f>IF(AO66&lt;&gt;"",Υπολογισμοί!J61,"")</f>
        <v/>
      </c>
    </row>
    <row r="67" spans="1:47" x14ac:dyDescent="0.15">
      <c r="A67" s="105" t="str">
        <f>IF('Συμβατικά ΦΣ'!B58&lt;&gt;"",'Συμβατικά ΦΣ'!C58,"")</f>
        <v/>
      </c>
      <c r="B67" s="103" t="str">
        <f>IF('Συμβατικά ΦΣ'!B58&lt;&gt;"",'Συμβατικά ΦΣ'!I58,"")</f>
        <v/>
      </c>
      <c r="C67" s="106" t="str">
        <f>IF('Συμβατικά ΦΣ'!B58&lt;&gt;"",'Συμβατικά ΦΣ'!J58,"")</f>
        <v/>
      </c>
      <c r="D67" s="107" t="str">
        <f>IF('Συμβατικά ΦΣ'!B58&lt;&gt;"",'Συμβατικά ΦΣ'!L58,"")</f>
        <v/>
      </c>
      <c r="E67" s="103" t="str">
        <f>IF('Συμβατικά ΦΣ'!B58&lt;&gt;"",'Συμβατικά ΦΣ'!K58,"")</f>
        <v/>
      </c>
      <c r="G67" s="105" t="str">
        <f t="shared" si="2"/>
        <v/>
      </c>
      <c r="H67" s="102" t="str">
        <f t="shared" si="3"/>
        <v/>
      </c>
      <c r="I67" s="106" t="str">
        <f t="shared" si="4"/>
        <v/>
      </c>
      <c r="J67" s="107" t="str">
        <f t="shared" si="5"/>
        <v/>
      </c>
      <c r="K67" s="107" t="str">
        <f t="shared" si="6"/>
        <v/>
      </c>
      <c r="L67" s="106" t="str">
        <f>IF(G67&lt;&gt;"",'Γενικά Δεδομένα'!$I$6*365,"")</f>
        <v/>
      </c>
      <c r="M67" s="109" t="str">
        <f>IF(G67&lt;&gt;"",Υπολογισμοί!G62,"")</f>
        <v/>
      </c>
      <c r="N67" s="110" t="str">
        <f>IF(G67&lt;&gt;"",'Γενικά Δεδομένα'!$I$4,"")</f>
        <v/>
      </c>
      <c r="O67" s="109" t="str">
        <f>IF(G67&lt;&gt;"",M67*'Γενικά Δεδομένα'!$I$4,"")</f>
        <v/>
      </c>
      <c r="Q67" s="120" t="str">
        <f t="shared" si="20"/>
        <v/>
      </c>
      <c r="R67" s="121" t="str">
        <f t="shared" si="21"/>
        <v/>
      </c>
      <c r="S67" s="122" t="str">
        <f t="shared" si="22"/>
        <v/>
      </c>
      <c r="T67" s="123"/>
      <c r="U67" s="124" t="str">
        <f>IF(Q67&lt;&gt;"",'Νέα ΦΣ'!D59,"")</f>
        <v/>
      </c>
      <c r="V67" s="113" t="str">
        <f>IF(Q67&lt;&gt;"",'Νέα ΦΣ'!M59,"")</f>
        <v/>
      </c>
      <c r="W67" s="113" t="str">
        <f t="shared" si="23"/>
        <v/>
      </c>
      <c r="X67" s="113" t="str">
        <f>IF(Q67&lt;&gt;"",'Νέα ΦΣ'!O59,"")</f>
        <v/>
      </c>
      <c r="Y67" s="107" t="str">
        <f t="shared" si="24"/>
        <v/>
      </c>
      <c r="AA67" s="105" t="str">
        <f t="shared" si="25"/>
        <v/>
      </c>
      <c r="AB67" s="102" t="str">
        <f t="shared" si="26"/>
        <v/>
      </c>
      <c r="AC67" s="102" t="str">
        <f t="shared" si="27"/>
        <v/>
      </c>
      <c r="AD67" s="102" t="str">
        <f t="shared" si="28"/>
        <v/>
      </c>
      <c r="AE67" s="102" t="str">
        <f t="shared" si="29"/>
        <v/>
      </c>
      <c r="AF67" s="107" t="str">
        <f t="shared" si="30"/>
        <v/>
      </c>
      <c r="AG67" s="102" t="str">
        <f t="shared" si="31"/>
        <v/>
      </c>
      <c r="AH67" s="109" t="str">
        <f t="shared" si="32"/>
        <v/>
      </c>
      <c r="AI67" s="109" t="str">
        <f>IF(AA67&lt;&gt;"",Υπολογισμοί!H62,"")</f>
        <v/>
      </c>
      <c r="AJ67" s="111" t="str">
        <f>IF(AA67&lt;&gt;"",'Γενικά Δεδομένα'!$I$4,"")</f>
        <v/>
      </c>
      <c r="AK67" s="109" t="str">
        <f t="shared" si="33"/>
        <v/>
      </c>
      <c r="AO67" s="124" t="str">
        <f t="shared" si="16"/>
        <v/>
      </c>
      <c r="AP67" s="113" t="str">
        <f t="shared" si="17"/>
        <v/>
      </c>
      <c r="AQ67" s="113" t="str">
        <f t="shared" si="18"/>
        <v/>
      </c>
      <c r="AR67" s="113" t="str">
        <f t="shared" si="19"/>
        <v/>
      </c>
      <c r="AS67" s="107" t="str">
        <f>IF(AO67&lt;&gt;"",'Νέα ΦΣ'!I59+'Νέα ΦΣ'!J59,"")</f>
        <v/>
      </c>
      <c r="AT67" s="106" t="str">
        <f>IF(AO67&lt;&gt;"",'Νέα ΦΣ'!N59,"")</f>
        <v/>
      </c>
      <c r="AU67" s="106" t="str">
        <f>IF(AO67&lt;&gt;"",Υπολογισμοί!J62,"")</f>
        <v/>
      </c>
    </row>
    <row r="68" spans="1:47" x14ac:dyDescent="0.15">
      <c r="A68" s="105" t="str">
        <f>IF('Συμβατικά ΦΣ'!B59&lt;&gt;"",'Συμβατικά ΦΣ'!C59,"")</f>
        <v/>
      </c>
      <c r="B68" s="103" t="str">
        <f>IF('Συμβατικά ΦΣ'!B59&lt;&gt;"",'Συμβατικά ΦΣ'!I59,"")</f>
        <v/>
      </c>
      <c r="C68" s="106" t="str">
        <f>IF('Συμβατικά ΦΣ'!B59&lt;&gt;"",'Συμβατικά ΦΣ'!J59,"")</f>
        <v/>
      </c>
      <c r="D68" s="107" t="str">
        <f>IF('Συμβατικά ΦΣ'!B59&lt;&gt;"",'Συμβατικά ΦΣ'!L59,"")</f>
        <v/>
      </c>
      <c r="E68" s="103" t="str">
        <f>IF('Συμβατικά ΦΣ'!B59&lt;&gt;"",'Συμβατικά ΦΣ'!K59,"")</f>
        <v/>
      </c>
      <c r="G68" s="105" t="str">
        <f t="shared" si="2"/>
        <v/>
      </c>
      <c r="H68" s="102" t="str">
        <f t="shared" si="3"/>
        <v/>
      </c>
      <c r="I68" s="106" t="str">
        <f t="shared" si="4"/>
        <v/>
      </c>
      <c r="J68" s="107" t="str">
        <f t="shared" si="5"/>
        <v/>
      </c>
      <c r="K68" s="107" t="str">
        <f t="shared" si="6"/>
        <v/>
      </c>
      <c r="L68" s="106" t="str">
        <f>IF(G68&lt;&gt;"",'Γενικά Δεδομένα'!$I$6*365,"")</f>
        <v/>
      </c>
      <c r="M68" s="109" t="str">
        <f>IF(G68&lt;&gt;"",Υπολογισμοί!G63,"")</f>
        <v/>
      </c>
      <c r="N68" s="110" t="str">
        <f>IF(G68&lt;&gt;"",'Γενικά Δεδομένα'!$I$4,"")</f>
        <v/>
      </c>
      <c r="O68" s="109" t="str">
        <f>IF(G68&lt;&gt;"",M68*'Γενικά Δεδομένα'!$I$4,"")</f>
        <v/>
      </c>
      <c r="Q68" s="120" t="str">
        <f t="shared" si="20"/>
        <v/>
      </c>
      <c r="R68" s="121" t="str">
        <f t="shared" si="21"/>
        <v/>
      </c>
      <c r="S68" s="122" t="str">
        <f t="shared" si="22"/>
        <v/>
      </c>
      <c r="T68" s="123"/>
      <c r="U68" s="124" t="str">
        <f>IF(Q68&lt;&gt;"",'Νέα ΦΣ'!D60,"")</f>
        <v/>
      </c>
      <c r="V68" s="113" t="str">
        <f>IF(Q68&lt;&gt;"",'Νέα ΦΣ'!M60,"")</f>
        <v/>
      </c>
      <c r="W68" s="113" t="str">
        <f t="shared" si="23"/>
        <v/>
      </c>
      <c r="X68" s="113" t="str">
        <f>IF(Q68&lt;&gt;"",'Νέα ΦΣ'!O60,"")</f>
        <v/>
      </c>
      <c r="Y68" s="107" t="str">
        <f t="shared" si="24"/>
        <v/>
      </c>
      <c r="AA68" s="105" t="str">
        <f t="shared" si="25"/>
        <v/>
      </c>
      <c r="AB68" s="102" t="str">
        <f t="shared" si="26"/>
        <v/>
      </c>
      <c r="AC68" s="102" t="str">
        <f t="shared" si="27"/>
        <v/>
      </c>
      <c r="AD68" s="102" t="str">
        <f t="shared" si="28"/>
        <v/>
      </c>
      <c r="AE68" s="102" t="str">
        <f t="shared" si="29"/>
        <v/>
      </c>
      <c r="AF68" s="107" t="str">
        <f t="shared" si="30"/>
        <v/>
      </c>
      <c r="AG68" s="102" t="str">
        <f t="shared" si="31"/>
        <v/>
      </c>
      <c r="AH68" s="109" t="str">
        <f t="shared" si="32"/>
        <v/>
      </c>
      <c r="AI68" s="109" t="str">
        <f>IF(AA68&lt;&gt;"",Υπολογισμοί!H63,"")</f>
        <v/>
      </c>
      <c r="AJ68" s="111" t="str">
        <f>IF(AA68&lt;&gt;"",'Γενικά Δεδομένα'!$I$4,"")</f>
        <v/>
      </c>
      <c r="AK68" s="109" t="str">
        <f t="shared" si="33"/>
        <v/>
      </c>
      <c r="AO68" s="124" t="str">
        <f t="shared" si="16"/>
        <v/>
      </c>
      <c r="AP68" s="113" t="str">
        <f t="shared" si="17"/>
        <v/>
      </c>
      <c r="AQ68" s="113" t="str">
        <f t="shared" si="18"/>
        <v/>
      </c>
      <c r="AR68" s="113" t="str">
        <f t="shared" si="19"/>
        <v/>
      </c>
      <c r="AS68" s="107" t="str">
        <f>IF(AO68&lt;&gt;"",'Νέα ΦΣ'!I60+'Νέα ΦΣ'!J60,"")</f>
        <v/>
      </c>
      <c r="AT68" s="106" t="str">
        <f>IF(AO68&lt;&gt;"",'Νέα ΦΣ'!N60,"")</f>
        <v/>
      </c>
      <c r="AU68" s="106" t="str">
        <f>IF(AO68&lt;&gt;"",Υπολογισμοί!J63,"")</f>
        <v/>
      </c>
    </row>
  </sheetData>
  <sheetProtection algorithmName="SHA-512" hashValue="MtZmnrcQFVmD3kBUOF47ZXYRmPdksXC+7tBZhjUlCtpD6PZ5lZaBCXT0/1tbnehYRk3vD5dx6uYmg4zXHwbBLA==" saltValue="JfFreqBDgaMO7WxXWI0paw==" spinCount="100000" sheet="1" objects="1" scenarios="1"/>
  <mergeCells count="8">
    <mergeCell ref="Q5:S5"/>
    <mergeCell ref="U5:X5"/>
    <mergeCell ref="Q1:Y1"/>
    <mergeCell ref="A1:E1"/>
    <mergeCell ref="G1:O1"/>
    <mergeCell ref="AW1:AZ1"/>
    <mergeCell ref="AO1:AU1"/>
    <mergeCell ref="AA1:AK1"/>
  </mergeCells>
  <pageMargins left="1" right="1"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zoomScale="110" zoomScaleNormal="110" workbookViewId="0">
      <selection activeCell="S6" sqref="S6"/>
    </sheetView>
  </sheetViews>
  <sheetFormatPr defaultColWidth="8.85546875" defaultRowHeight="15" x14ac:dyDescent="0.25"/>
  <cols>
    <col min="1" max="1" width="0.7109375" style="16" customWidth="1"/>
    <col min="2" max="8" width="8.140625" style="16" customWidth="1"/>
    <col min="9" max="9" width="10.28515625" style="16" customWidth="1"/>
    <col min="10" max="14" width="8.85546875" style="16"/>
    <col min="15" max="15" width="14.7109375" style="16" customWidth="1"/>
    <col min="16" max="16" width="0.7109375" style="16" customWidth="1"/>
    <col min="17" max="16384" width="8.85546875" style="16"/>
  </cols>
  <sheetData>
    <row r="1" spans="2:15" ht="15.75" thickBot="1" x14ac:dyDescent="0.3"/>
    <row r="2" spans="2:15" ht="15.75" x14ac:dyDescent="0.25">
      <c r="B2" s="248" t="s">
        <v>7</v>
      </c>
      <c r="C2" s="249"/>
      <c r="D2" s="249"/>
      <c r="E2" s="249"/>
      <c r="F2" s="249"/>
      <c r="G2" s="249"/>
      <c r="H2" s="249"/>
      <c r="I2" s="249"/>
      <c r="J2" s="249"/>
      <c r="K2" s="249"/>
      <c r="L2" s="249"/>
      <c r="M2" s="249"/>
      <c r="N2" s="249"/>
      <c r="O2" s="250"/>
    </row>
    <row r="3" spans="2:15" x14ac:dyDescent="0.25">
      <c r="B3" s="251" t="s">
        <v>9</v>
      </c>
      <c r="C3" s="252"/>
      <c r="D3" s="252"/>
      <c r="E3" s="252"/>
      <c r="F3" s="252"/>
      <c r="G3" s="252"/>
      <c r="H3" s="252"/>
      <c r="I3" s="137">
        <v>0.24</v>
      </c>
      <c r="J3" s="240" t="s">
        <v>27</v>
      </c>
      <c r="K3" s="240"/>
      <c r="L3" s="240"/>
      <c r="M3" s="240"/>
      <c r="N3" s="240"/>
      <c r="O3" s="241"/>
    </row>
    <row r="4" spans="2:15" x14ac:dyDescent="0.25">
      <c r="B4" s="251" t="s">
        <v>10</v>
      </c>
      <c r="C4" s="252"/>
      <c r="D4" s="252"/>
      <c r="E4" s="252"/>
      <c r="F4" s="252"/>
      <c r="G4" s="252"/>
      <c r="H4" s="252"/>
      <c r="I4" s="7">
        <v>0.15</v>
      </c>
      <c r="J4" s="240" t="s">
        <v>62</v>
      </c>
      <c r="K4" s="240"/>
      <c r="L4" s="240"/>
      <c r="M4" s="240"/>
      <c r="N4" s="240"/>
      <c r="O4" s="241"/>
    </row>
    <row r="5" spans="2:15" x14ac:dyDescent="0.25">
      <c r="B5" s="251" t="s">
        <v>11</v>
      </c>
      <c r="C5" s="252"/>
      <c r="D5" s="252"/>
      <c r="E5" s="252"/>
      <c r="F5" s="252"/>
      <c r="G5" s="252"/>
      <c r="H5" s="252"/>
      <c r="I5" s="9">
        <v>4.0000000000000001E-3</v>
      </c>
      <c r="J5" s="240" t="s">
        <v>84</v>
      </c>
      <c r="K5" s="240"/>
      <c r="L5" s="240"/>
      <c r="M5" s="240"/>
      <c r="N5" s="240"/>
      <c r="O5" s="241"/>
    </row>
    <row r="6" spans="2:15" x14ac:dyDescent="0.25">
      <c r="B6" s="251" t="s">
        <v>17</v>
      </c>
      <c r="C6" s="252"/>
      <c r="D6" s="252"/>
      <c r="E6" s="252"/>
      <c r="F6" s="252"/>
      <c r="G6" s="252"/>
      <c r="H6" s="252"/>
      <c r="I6" s="8">
        <v>11.9</v>
      </c>
      <c r="J6" s="240" t="s">
        <v>63</v>
      </c>
      <c r="K6" s="240"/>
      <c r="L6" s="240"/>
      <c r="M6" s="240"/>
      <c r="N6" s="240"/>
      <c r="O6" s="241"/>
    </row>
    <row r="7" spans="2:15" s="29" customFormat="1" x14ac:dyDescent="0.25">
      <c r="B7" s="30"/>
      <c r="C7" s="31"/>
      <c r="D7" s="31"/>
      <c r="E7" s="31"/>
      <c r="F7" s="31"/>
      <c r="G7" s="31"/>
      <c r="H7" s="31"/>
      <c r="I7" s="31"/>
      <c r="J7" s="32"/>
      <c r="K7" s="33"/>
      <c r="L7" s="34"/>
      <c r="M7" s="34"/>
      <c r="N7" s="34"/>
      <c r="O7" s="35"/>
    </row>
    <row r="8" spans="2:15" ht="15.75" x14ac:dyDescent="0.25">
      <c r="B8" s="232" t="s">
        <v>8</v>
      </c>
      <c r="C8" s="233"/>
      <c r="D8" s="233"/>
      <c r="E8" s="233"/>
      <c r="F8" s="233"/>
      <c r="G8" s="233"/>
      <c r="H8" s="233"/>
      <c r="I8" s="233"/>
      <c r="J8" s="233"/>
      <c r="K8" s="233"/>
      <c r="L8" s="233"/>
      <c r="M8" s="233"/>
      <c r="N8" s="233"/>
      <c r="O8" s="234"/>
    </row>
    <row r="9" spans="2:15" ht="30" customHeight="1" x14ac:dyDescent="0.25">
      <c r="B9" s="235" t="s">
        <v>13</v>
      </c>
      <c r="C9" s="236"/>
      <c r="D9" s="236"/>
      <c r="E9" s="236"/>
      <c r="F9" s="236"/>
      <c r="G9" s="236"/>
      <c r="H9" s="236"/>
      <c r="I9" s="8">
        <v>0</v>
      </c>
      <c r="J9" s="240" t="s">
        <v>171</v>
      </c>
      <c r="K9" s="240"/>
      <c r="L9" s="240"/>
      <c r="M9" s="240"/>
      <c r="N9" s="240"/>
      <c r="O9" s="241"/>
    </row>
    <row r="10" spans="2:15" x14ac:dyDescent="0.25">
      <c r="B10" s="235" t="s">
        <v>12</v>
      </c>
      <c r="C10" s="236"/>
      <c r="D10" s="236"/>
      <c r="E10" s="236"/>
      <c r="F10" s="236"/>
      <c r="G10" s="236"/>
      <c r="H10" s="236"/>
      <c r="I10" s="8">
        <v>0</v>
      </c>
      <c r="J10" s="240" t="s">
        <v>171</v>
      </c>
      <c r="K10" s="240"/>
      <c r="L10" s="240"/>
      <c r="M10" s="240"/>
      <c r="N10" s="240"/>
      <c r="O10" s="241"/>
    </row>
    <row r="11" spans="2:15" x14ac:dyDescent="0.25">
      <c r="B11" s="235" t="s">
        <v>71</v>
      </c>
      <c r="C11" s="236"/>
      <c r="D11" s="236"/>
      <c r="E11" s="236"/>
      <c r="F11" s="236"/>
      <c r="G11" s="236"/>
      <c r="H11" s="236"/>
      <c r="I11" s="140">
        <v>80</v>
      </c>
      <c r="J11" s="240" t="s">
        <v>172</v>
      </c>
      <c r="K11" s="240"/>
      <c r="L11" s="240"/>
      <c r="M11" s="240"/>
      <c r="N11" s="240"/>
      <c r="O11" s="241"/>
    </row>
    <row r="12" spans="2:15" x14ac:dyDescent="0.25">
      <c r="B12" s="20"/>
      <c r="C12" s="21"/>
      <c r="D12" s="21"/>
      <c r="E12" s="21"/>
      <c r="F12" s="21"/>
      <c r="G12" s="21"/>
      <c r="H12" s="21"/>
      <c r="I12" s="21"/>
      <c r="J12" s="21"/>
      <c r="K12" s="21"/>
      <c r="L12" s="21"/>
      <c r="M12" s="21"/>
      <c r="N12" s="21"/>
      <c r="O12" s="22"/>
    </row>
    <row r="13" spans="2:15" ht="15.75" x14ac:dyDescent="0.25">
      <c r="B13" s="232" t="s">
        <v>14</v>
      </c>
      <c r="C13" s="233"/>
      <c r="D13" s="233"/>
      <c r="E13" s="233"/>
      <c r="F13" s="233"/>
      <c r="G13" s="233"/>
      <c r="H13" s="233"/>
      <c r="I13" s="233"/>
      <c r="J13" s="233"/>
      <c r="K13" s="233"/>
      <c r="L13" s="233"/>
      <c r="M13" s="233"/>
      <c r="N13" s="233"/>
      <c r="O13" s="234"/>
    </row>
    <row r="14" spans="2:15" ht="23.25" customHeight="1" x14ac:dyDescent="0.25">
      <c r="B14" s="235" t="s">
        <v>15</v>
      </c>
      <c r="C14" s="236"/>
      <c r="D14" s="236"/>
      <c r="E14" s="236"/>
      <c r="F14" s="236"/>
      <c r="G14" s="236"/>
      <c r="H14" s="236"/>
      <c r="I14" s="137">
        <v>0</v>
      </c>
      <c r="J14" s="242" t="s">
        <v>268</v>
      </c>
      <c r="K14" s="243"/>
      <c r="L14" s="243"/>
      <c r="M14" s="243"/>
      <c r="N14" s="243"/>
      <c r="O14" s="244"/>
    </row>
    <row r="15" spans="2:15" x14ac:dyDescent="0.25">
      <c r="B15" s="235" t="s">
        <v>16</v>
      </c>
      <c r="C15" s="236"/>
      <c r="D15" s="236"/>
      <c r="E15" s="236"/>
      <c r="F15" s="236"/>
      <c r="G15" s="236"/>
      <c r="H15" s="236"/>
      <c r="I15" s="137">
        <v>0</v>
      </c>
      <c r="J15" s="240" t="s">
        <v>132</v>
      </c>
      <c r="K15" s="240"/>
      <c r="L15" s="240"/>
      <c r="M15" s="240"/>
      <c r="N15" s="240"/>
      <c r="O15" s="241"/>
    </row>
    <row r="16" spans="2:15" x14ac:dyDescent="0.25">
      <c r="B16" s="245"/>
      <c r="C16" s="246"/>
      <c r="D16" s="246"/>
      <c r="E16" s="246"/>
      <c r="F16" s="246"/>
      <c r="G16" s="246"/>
      <c r="H16" s="246"/>
      <c r="I16" s="246"/>
      <c r="J16" s="246"/>
      <c r="K16" s="246"/>
      <c r="L16" s="246"/>
      <c r="M16" s="246"/>
      <c r="N16" s="246"/>
      <c r="O16" s="247"/>
    </row>
    <row r="17" spans="2:15" ht="15.75" x14ac:dyDescent="0.25">
      <c r="B17" s="232" t="s">
        <v>121</v>
      </c>
      <c r="C17" s="233"/>
      <c r="D17" s="233"/>
      <c r="E17" s="233"/>
      <c r="F17" s="233"/>
      <c r="G17" s="233"/>
      <c r="H17" s="233"/>
      <c r="I17" s="233"/>
      <c r="J17" s="233"/>
      <c r="K17" s="233"/>
      <c r="L17" s="233"/>
      <c r="M17" s="233"/>
      <c r="N17" s="233"/>
      <c r="O17" s="234"/>
    </row>
    <row r="18" spans="2:15" x14ac:dyDescent="0.25">
      <c r="B18" s="235" t="s">
        <v>120</v>
      </c>
      <c r="C18" s="236"/>
      <c r="D18" s="236"/>
      <c r="E18" s="236"/>
      <c r="F18" s="236"/>
      <c r="G18" s="236"/>
      <c r="H18" s="236"/>
      <c r="I18" s="36">
        <v>989</v>
      </c>
      <c r="J18" s="230" t="s">
        <v>170</v>
      </c>
      <c r="K18" s="230"/>
      <c r="L18" s="230"/>
      <c r="M18" s="230"/>
      <c r="N18" s="230"/>
      <c r="O18" s="231"/>
    </row>
    <row r="19" spans="2:15" x14ac:dyDescent="0.25">
      <c r="B19" s="20"/>
      <c r="C19" s="21"/>
      <c r="D19" s="21"/>
      <c r="E19" s="21"/>
      <c r="F19" s="21"/>
      <c r="G19" s="21"/>
      <c r="H19" s="21"/>
      <c r="I19" s="21"/>
      <c r="J19" s="21"/>
      <c r="K19" s="21"/>
      <c r="L19" s="21"/>
      <c r="M19" s="21"/>
      <c r="N19" s="21"/>
      <c r="O19" s="22"/>
    </row>
    <row r="20" spans="2:15" ht="15.75" x14ac:dyDescent="0.25">
      <c r="B20" s="232" t="s">
        <v>127</v>
      </c>
      <c r="C20" s="233"/>
      <c r="D20" s="233"/>
      <c r="E20" s="233"/>
      <c r="F20" s="233"/>
      <c r="G20" s="233"/>
      <c r="H20" s="233"/>
      <c r="I20" s="233"/>
      <c r="J20" s="233"/>
      <c r="K20" s="233"/>
      <c r="L20" s="233"/>
      <c r="M20" s="233"/>
      <c r="N20" s="233"/>
      <c r="O20" s="234"/>
    </row>
    <row r="21" spans="2:15" x14ac:dyDescent="0.25">
      <c r="B21" s="235" t="s">
        <v>128</v>
      </c>
      <c r="C21" s="236"/>
      <c r="D21" s="236"/>
      <c r="E21" s="236"/>
      <c r="F21" s="236"/>
      <c r="G21" s="236"/>
      <c r="H21" s="236"/>
      <c r="I21" s="138">
        <v>10</v>
      </c>
      <c r="J21" s="230"/>
      <c r="K21" s="230"/>
      <c r="L21" s="230"/>
      <c r="M21" s="230"/>
      <c r="N21" s="230"/>
      <c r="O21" s="231"/>
    </row>
    <row r="22" spans="2:15" ht="23.25" customHeight="1" x14ac:dyDescent="0.25">
      <c r="B22" s="235" t="s">
        <v>264</v>
      </c>
      <c r="C22" s="236"/>
      <c r="D22" s="236"/>
      <c r="E22" s="236"/>
      <c r="F22" s="236"/>
      <c r="G22" s="236"/>
      <c r="H22" s="236"/>
      <c r="I22" s="95">
        <v>15</v>
      </c>
      <c r="J22" s="237" t="s">
        <v>155</v>
      </c>
      <c r="K22" s="238"/>
      <c r="L22" s="238"/>
      <c r="M22" s="238"/>
      <c r="N22" s="238"/>
      <c r="O22" s="239"/>
    </row>
    <row r="23" spans="2:15" ht="31.5" customHeight="1" x14ac:dyDescent="0.25">
      <c r="B23" s="228" t="s">
        <v>111</v>
      </c>
      <c r="C23" s="229"/>
      <c r="D23" s="229"/>
      <c r="E23" s="229"/>
      <c r="F23" s="229"/>
      <c r="G23" s="229"/>
      <c r="H23" s="229"/>
      <c r="I23" s="139">
        <v>230000</v>
      </c>
      <c r="J23" s="230" t="s">
        <v>269</v>
      </c>
      <c r="K23" s="230"/>
      <c r="L23" s="230"/>
      <c r="M23" s="230"/>
      <c r="N23" s="230"/>
      <c r="O23" s="231"/>
    </row>
    <row r="24" spans="2:15" x14ac:dyDescent="0.25">
      <c r="B24" s="20"/>
      <c r="C24" s="21"/>
      <c r="D24" s="21"/>
      <c r="E24" s="21"/>
      <c r="F24" s="21"/>
      <c r="G24" s="21"/>
      <c r="H24" s="21"/>
      <c r="I24" s="21"/>
      <c r="J24" s="21"/>
      <c r="K24" s="21"/>
      <c r="L24" s="21"/>
      <c r="M24" s="21"/>
      <c r="N24" s="21"/>
      <c r="O24" s="22"/>
    </row>
    <row r="25" spans="2:15" ht="15.75" x14ac:dyDescent="0.25">
      <c r="B25" s="232" t="s">
        <v>159</v>
      </c>
      <c r="C25" s="233"/>
      <c r="D25" s="233"/>
      <c r="E25" s="233"/>
      <c r="F25" s="233"/>
      <c r="G25" s="233"/>
      <c r="H25" s="233"/>
      <c r="I25" s="233"/>
      <c r="J25" s="233"/>
      <c r="K25" s="233"/>
      <c r="L25" s="233"/>
      <c r="M25" s="233"/>
      <c r="N25" s="233"/>
      <c r="O25" s="234"/>
    </row>
    <row r="26" spans="2:15" x14ac:dyDescent="0.25">
      <c r="B26" s="235" t="s">
        <v>160</v>
      </c>
      <c r="C26" s="236"/>
      <c r="D26" s="236"/>
      <c r="E26" s="236"/>
      <c r="F26" s="236"/>
      <c r="G26" s="236"/>
      <c r="H26" s="236"/>
      <c r="I26" s="36">
        <v>80</v>
      </c>
      <c r="J26" s="230" t="s">
        <v>173</v>
      </c>
      <c r="K26" s="230"/>
      <c r="L26" s="230"/>
      <c r="M26" s="230"/>
      <c r="N26" s="230"/>
      <c r="O26" s="231"/>
    </row>
    <row r="27" spans="2:15" x14ac:dyDescent="0.25">
      <c r="B27" s="235" t="s">
        <v>161</v>
      </c>
      <c r="C27" s="236"/>
      <c r="D27" s="236"/>
      <c r="E27" s="236"/>
      <c r="F27" s="236"/>
      <c r="G27" s="236"/>
      <c r="H27" s="236"/>
      <c r="I27" s="95">
        <v>120</v>
      </c>
      <c r="J27" s="230" t="s">
        <v>173</v>
      </c>
      <c r="K27" s="230"/>
      <c r="L27" s="230"/>
      <c r="M27" s="230"/>
      <c r="N27" s="230"/>
      <c r="O27" s="231"/>
    </row>
    <row r="28" spans="2:15" ht="15.75" thickBot="1" x14ac:dyDescent="0.3">
      <c r="B28" s="26"/>
      <c r="C28" s="27"/>
      <c r="D28" s="27"/>
      <c r="E28" s="27"/>
      <c r="F28" s="27"/>
      <c r="G28" s="27"/>
      <c r="H28" s="27"/>
      <c r="I28" s="27"/>
      <c r="J28" s="27"/>
      <c r="K28" s="27"/>
      <c r="L28" s="27"/>
      <c r="M28" s="27"/>
      <c r="N28" s="27"/>
      <c r="O28" s="28"/>
    </row>
  </sheetData>
  <sheetProtection algorithmName="SHA-512" hashValue="Dz4IwpCaLi4CIbwz29TqmWGRNtX/LmlJTfiimuib+5NHaNbuzZmnH6+7EO6BTiKDO87r/v+Gq7TR/MsO84+ixA==" saltValue="waa1UAtKX7DRkDdhUc4uqQ==" spinCount="100000" sheet="1" objects="1" scenarios="1"/>
  <mergeCells count="37">
    <mergeCell ref="B25:O25"/>
    <mergeCell ref="B26:H26"/>
    <mergeCell ref="J26:O26"/>
    <mergeCell ref="B27:H27"/>
    <mergeCell ref="J27:O27"/>
    <mergeCell ref="B8:O8"/>
    <mergeCell ref="B18:H18"/>
    <mergeCell ref="J18:O18"/>
    <mergeCell ref="B2:O2"/>
    <mergeCell ref="B3:H3"/>
    <mergeCell ref="B4:H4"/>
    <mergeCell ref="B5:H5"/>
    <mergeCell ref="B6:H6"/>
    <mergeCell ref="J3:O3"/>
    <mergeCell ref="J4:O4"/>
    <mergeCell ref="J5:O5"/>
    <mergeCell ref="J6:O6"/>
    <mergeCell ref="B10:H10"/>
    <mergeCell ref="B9:H9"/>
    <mergeCell ref="J10:O10"/>
    <mergeCell ref="J9:O9"/>
    <mergeCell ref="B11:H11"/>
    <mergeCell ref="J11:O11"/>
    <mergeCell ref="B17:O17"/>
    <mergeCell ref="B13:O13"/>
    <mergeCell ref="B14:H14"/>
    <mergeCell ref="J14:O14"/>
    <mergeCell ref="B15:H15"/>
    <mergeCell ref="J15:O15"/>
    <mergeCell ref="B16:O16"/>
    <mergeCell ref="B23:H23"/>
    <mergeCell ref="J23:O23"/>
    <mergeCell ref="B20:O20"/>
    <mergeCell ref="B21:H21"/>
    <mergeCell ref="J21:O21"/>
    <mergeCell ref="B22:H22"/>
    <mergeCell ref="J22:O22"/>
  </mergeCells>
  <conditionalFormatting sqref="I4 I6">
    <cfRule type="containsBlanks" dxfId="10" priority="14">
      <formula>LEN(TRIM(I4))=0</formula>
    </cfRule>
  </conditionalFormatting>
  <conditionalFormatting sqref="I5">
    <cfRule type="containsBlanks" dxfId="9" priority="13">
      <formula>LEN(TRIM(I5))=0</formula>
    </cfRule>
  </conditionalFormatting>
  <conditionalFormatting sqref="I9">
    <cfRule type="containsBlanks" dxfId="8" priority="12">
      <formula>LEN(TRIM(I9))=0</formula>
    </cfRule>
  </conditionalFormatting>
  <conditionalFormatting sqref="I10">
    <cfRule type="containsBlanks" dxfId="7" priority="11">
      <formula>LEN(TRIM(I10))=0</formula>
    </cfRule>
  </conditionalFormatting>
  <conditionalFormatting sqref="I11">
    <cfRule type="containsBlanks" dxfId="6" priority="10">
      <formula>LEN(TRIM(I11))=0</formula>
    </cfRule>
  </conditionalFormatting>
  <conditionalFormatting sqref="I18">
    <cfRule type="containsBlanks" dxfId="5" priority="9">
      <formula>LEN(TRIM(I18))=0</formula>
    </cfRule>
  </conditionalFormatting>
  <conditionalFormatting sqref="I21">
    <cfRule type="containsBlanks" dxfId="4" priority="8">
      <formula>LEN(TRIM(I21))=0</formula>
    </cfRule>
  </conditionalFormatting>
  <conditionalFormatting sqref="I23">
    <cfRule type="containsBlanks" dxfId="3" priority="4">
      <formula>LEN(TRIM(I23))=0</formula>
    </cfRule>
  </conditionalFormatting>
  <conditionalFormatting sqref="I22">
    <cfRule type="containsBlanks" dxfId="2" priority="6">
      <formula>LEN(TRIM(I22))=0</formula>
    </cfRule>
  </conditionalFormatting>
  <conditionalFormatting sqref="I26">
    <cfRule type="containsBlanks" dxfId="1" priority="3">
      <formula>LEN(TRIM(I26))=0</formula>
    </cfRule>
  </conditionalFormatting>
  <conditionalFormatting sqref="I27">
    <cfRule type="containsBlanks" dxfId="0" priority="2">
      <formula>LEN(TRIM(I27))=0</formula>
    </cfRule>
  </conditionalFormatting>
  <dataValidations count="1">
    <dataValidation type="list" allowBlank="1" showInputMessage="1" showErrorMessage="1" sqref="I21">
      <formula1>"1,2,3,4,5,6,7,8,9,10"</formula1>
    </dataValidation>
  </dataValidation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zoomScaleNormal="100" workbookViewId="0">
      <selection activeCell="C8" sqref="C8:F8"/>
    </sheetView>
  </sheetViews>
  <sheetFormatPr defaultColWidth="8.85546875" defaultRowHeight="15" x14ac:dyDescent="0.25"/>
  <cols>
    <col min="1" max="1" width="0.5703125" style="16" customWidth="1"/>
    <col min="2" max="2" width="11.140625" style="16" customWidth="1"/>
    <col min="3" max="3" width="9.5703125" style="16" customWidth="1"/>
    <col min="4" max="4" width="8.85546875" style="16" customWidth="1"/>
    <col min="5" max="5" width="9.7109375" style="16" customWidth="1"/>
    <col min="6" max="6" width="74.7109375" style="16" customWidth="1"/>
    <col min="7" max="7" width="11.140625" style="16" customWidth="1"/>
    <col min="8" max="8" width="10.42578125" style="16" customWidth="1"/>
    <col min="9" max="9" width="10" style="16" customWidth="1"/>
    <col min="10" max="10" width="12.140625" style="16" customWidth="1"/>
    <col min="11" max="11" width="11" style="16" customWidth="1"/>
    <col min="12" max="12" width="9.85546875" style="16" customWidth="1"/>
    <col min="13" max="14" width="8.85546875" style="16"/>
    <col min="15" max="15" width="0.7109375" style="16" customWidth="1"/>
    <col min="16" max="16384" width="8.85546875" style="16"/>
  </cols>
  <sheetData>
    <row r="1" spans="1:14" ht="15.75" thickBot="1" x14ac:dyDescent="0.3"/>
    <row r="2" spans="1:14" ht="15.75" x14ac:dyDescent="0.25">
      <c r="B2" s="248" t="s">
        <v>175</v>
      </c>
      <c r="C2" s="249"/>
      <c r="D2" s="249"/>
      <c r="E2" s="249"/>
      <c r="F2" s="249"/>
      <c r="G2" s="249"/>
      <c r="H2" s="249"/>
      <c r="I2" s="249"/>
      <c r="J2" s="249"/>
      <c r="K2" s="249"/>
      <c r="L2" s="249"/>
      <c r="M2" s="249"/>
      <c r="N2" s="250"/>
    </row>
    <row r="3" spans="1:14" ht="40.15" customHeight="1" x14ac:dyDescent="0.25">
      <c r="B3" s="37" t="s">
        <v>18</v>
      </c>
      <c r="C3" s="254" t="s">
        <v>174</v>
      </c>
      <c r="D3" s="254"/>
      <c r="E3" s="254"/>
      <c r="F3" s="254"/>
      <c r="G3" s="185" t="s">
        <v>23</v>
      </c>
      <c r="H3" s="38" t="s">
        <v>20</v>
      </c>
      <c r="I3" s="39" t="s">
        <v>21</v>
      </c>
      <c r="J3" s="39" t="s">
        <v>22</v>
      </c>
      <c r="K3" s="185" t="s">
        <v>283</v>
      </c>
      <c r="L3" s="185" t="s">
        <v>122</v>
      </c>
      <c r="M3" s="40"/>
      <c r="N3" s="41"/>
    </row>
    <row r="4" spans="1:14" ht="43.9" customHeight="1" x14ac:dyDescent="0.25">
      <c r="B4" s="42">
        <v>1</v>
      </c>
      <c r="C4" s="255" t="s">
        <v>288</v>
      </c>
      <c r="D4" s="256"/>
      <c r="E4" s="256"/>
      <c r="F4" s="257"/>
      <c r="G4" s="141" t="s">
        <v>273</v>
      </c>
      <c r="H4" s="142">
        <v>2380</v>
      </c>
      <c r="I4" s="143">
        <v>250</v>
      </c>
      <c r="J4" s="143">
        <v>287.5</v>
      </c>
      <c r="K4" s="142">
        <v>0</v>
      </c>
      <c r="L4" s="51">
        <v>2380</v>
      </c>
      <c r="M4" s="45"/>
      <c r="N4" s="46"/>
    </row>
    <row r="5" spans="1:14" ht="43.9" customHeight="1" x14ac:dyDescent="0.25">
      <c r="B5" s="42">
        <v>2</v>
      </c>
      <c r="C5" s="253" t="s">
        <v>288</v>
      </c>
      <c r="D5" s="253"/>
      <c r="E5" s="253"/>
      <c r="F5" s="253"/>
      <c r="G5" s="141" t="s">
        <v>274</v>
      </c>
      <c r="H5" s="142">
        <v>2435</v>
      </c>
      <c r="I5" s="143">
        <v>250</v>
      </c>
      <c r="J5" s="143">
        <v>287.5</v>
      </c>
      <c r="K5" s="142">
        <v>0</v>
      </c>
      <c r="L5" s="51">
        <f t="shared" ref="L5:L7" si="0">IF(B5&lt;&gt;"",H5-K5,"")</f>
        <v>2435</v>
      </c>
      <c r="M5" s="45"/>
      <c r="N5" s="46"/>
    </row>
    <row r="6" spans="1:14" ht="43.9" customHeight="1" x14ac:dyDescent="0.25">
      <c r="A6" s="16">
        <v>0</v>
      </c>
      <c r="B6" s="42">
        <f>IF(C6&lt;&gt;"",B5+1,"")</f>
        <v>3</v>
      </c>
      <c r="C6" s="255" t="s">
        <v>288</v>
      </c>
      <c r="D6" s="256"/>
      <c r="E6" s="256"/>
      <c r="F6" s="257"/>
      <c r="G6" s="141" t="s">
        <v>290</v>
      </c>
      <c r="H6" s="142">
        <v>383</v>
      </c>
      <c r="I6" s="143">
        <v>250</v>
      </c>
      <c r="J6" s="143">
        <v>287.5</v>
      </c>
      <c r="K6" s="142">
        <v>0</v>
      </c>
      <c r="L6" s="51">
        <f t="shared" si="0"/>
        <v>383</v>
      </c>
      <c r="M6" s="45"/>
      <c r="N6" s="46"/>
    </row>
    <row r="7" spans="1:14" ht="43.9" customHeight="1" x14ac:dyDescent="0.25">
      <c r="B7" s="42">
        <f>IF(C7&lt;&gt;"",B6+1,"")</f>
        <v>4</v>
      </c>
      <c r="C7" s="255" t="s">
        <v>289</v>
      </c>
      <c r="D7" s="256"/>
      <c r="E7" s="256"/>
      <c r="F7" s="257"/>
      <c r="G7" s="141" t="s">
        <v>291</v>
      </c>
      <c r="H7" s="142">
        <v>10</v>
      </c>
      <c r="I7" s="143">
        <v>1000</v>
      </c>
      <c r="J7" s="143">
        <v>1200</v>
      </c>
      <c r="K7" s="142">
        <v>0</v>
      </c>
      <c r="L7" s="51">
        <f t="shared" si="0"/>
        <v>10</v>
      </c>
      <c r="M7" s="45"/>
      <c r="N7" s="46"/>
    </row>
    <row r="8" spans="1:14" ht="43.9" customHeight="1" x14ac:dyDescent="0.25">
      <c r="B8" s="42"/>
      <c r="C8" s="255"/>
      <c r="D8" s="256"/>
      <c r="E8" s="256"/>
      <c r="F8" s="257"/>
      <c r="G8" s="141"/>
      <c r="H8" s="142"/>
      <c r="I8" s="143"/>
      <c r="J8" s="143"/>
      <c r="K8" s="142"/>
      <c r="L8" s="51"/>
      <c r="M8" s="45"/>
      <c r="N8" s="46"/>
    </row>
    <row r="9" spans="1:14" ht="43.9" customHeight="1" x14ac:dyDescent="0.25">
      <c r="B9" s="42"/>
      <c r="C9" s="255"/>
      <c r="D9" s="256"/>
      <c r="E9" s="256"/>
      <c r="F9" s="257"/>
      <c r="G9" s="141"/>
      <c r="H9" s="142"/>
      <c r="I9" s="143"/>
      <c r="J9" s="143"/>
      <c r="K9" s="142"/>
      <c r="L9" s="51"/>
      <c r="M9" s="45"/>
      <c r="N9" s="46"/>
    </row>
    <row r="10" spans="1:14" ht="43.9" customHeight="1" x14ac:dyDescent="0.25">
      <c r="B10" s="42"/>
      <c r="C10" s="255"/>
      <c r="D10" s="256"/>
      <c r="E10" s="256"/>
      <c r="F10" s="257"/>
      <c r="G10" s="141"/>
      <c r="H10" s="142"/>
      <c r="I10" s="143"/>
      <c r="J10" s="143"/>
      <c r="K10" s="142"/>
      <c r="L10" s="51"/>
      <c r="M10" s="45"/>
      <c r="N10" s="46"/>
    </row>
    <row r="11" spans="1:14" ht="43.9" customHeight="1" x14ac:dyDescent="0.25">
      <c r="B11" s="42"/>
      <c r="C11" s="255"/>
      <c r="D11" s="256"/>
      <c r="E11" s="256"/>
      <c r="F11" s="257"/>
      <c r="G11" s="141"/>
      <c r="H11" s="142"/>
      <c r="I11" s="143"/>
      <c r="J11" s="143"/>
      <c r="K11" s="142"/>
      <c r="L11" s="51"/>
      <c r="M11" s="45"/>
      <c r="N11" s="46"/>
    </row>
    <row r="12" spans="1:14" ht="43.9" customHeight="1" x14ac:dyDescent="0.25">
      <c r="B12" s="42" t="str">
        <f>IF(C12&lt;&gt;"",B11+1,"")</f>
        <v/>
      </c>
      <c r="C12" s="253"/>
      <c r="D12" s="253"/>
      <c r="E12" s="253"/>
      <c r="F12" s="253"/>
      <c r="G12" s="141"/>
      <c r="H12" s="142"/>
      <c r="I12" s="143"/>
      <c r="J12" s="143"/>
      <c r="K12" s="142"/>
      <c r="L12" s="51" t="str">
        <f t="shared" ref="L12:L59" si="1">IF(B12&lt;&gt;"",H12-K12,"")</f>
        <v/>
      </c>
      <c r="M12" s="45"/>
      <c r="N12" s="46"/>
    </row>
    <row r="13" spans="1:14" ht="43.9" customHeight="1" x14ac:dyDescent="0.25">
      <c r="B13" s="42" t="str">
        <f t="shared" ref="B13:B59" si="2">IF(C13&lt;&gt;"",B12+1,"")</f>
        <v/>
      </c>
      <c r="C13" s="253"/>
      <c r="D13" s="253"/>
      <c r="E13" s="253"/>
      <c r="F13" s="253"/>
      <c r="G13" s="141"/>
      <c r="H13" s="142"/>
      <c r="I13" s="143"/>
      <c r="J13" s="143"/>
      <c r="K13" s="142"/>
      <c r="L13" s="51" t="str">
        <f t="shared" si="1"/>
        <v/>
      </c>
      <c r="M13" s="45"/>
      <c r="N13" s="46"/>
    </row>
    <row r="14" spans="1:14" ht="43.9" customHeight="1" x14ac:dyDescent="0.25">
      <c r="B14" s="42" t="str">
        <f t="shared" si="2"/>
        <v/>
      </c>
      <c r="C14" s="253"/>
      <c r="D14" s="253"/>
      <c r="E14" s="253"/>
      <c r="F14" s="253"/>
      <c r="G14" s="141"/>
      <c r="H14" s="142"/>
      <c r="I14" s="143"/>
      <c r="J14" s="143"/>
      <c r="K14" s="142"/>
      <c r="L14" s="51" t="str">
        <f t="shared" si="1"/>
        <v/>
      </c>
      <c r="M14" s="45"/>
      <c r="N14" s="46"/>
    </row>
    <row r="15" spans="1:14" ht="43.9" customHeight="1" x14ac:dyDescent="0.25">
      <c r="B15" s="42" t="str">
        <f t="shared" si="2"/>
        <v/>
      </c>
      <c r="C15" s="253"/>
      <c r="D15" s="253"/>
      <c r="E15" s="253"/>
      <c r="F15" s="253"/>
      <c r="G15" s="141"/>
      <c r="H15" s="142"/>
      <c r="I15" s="143"/>
      <c r="J15" s="143"/>
      <c r="K15" s="142"/>
      <c r="L15" s="51" t="str">
        <f t="shared" si="1"/>
        <v/>
      </c>
      <c r="M15" s="45"/>
      <c r="N15" s="46"/>
    </row>
    <row r="16" spans="1:14" ht="43.9" customHeight="1" x14ac:dyDescent="0.25">
      <c r="B16" s="42" t="str">
        <f t="shared" si="2"/>
        <v/>
      </c>
      <c r="C16" s="253"/>
      <c r="D16" s="253"/>
      <c r="E16" s="253"/>
      <c r="F16" s="253"/>
      <c r="G16" s="141"/>
      <c r="H16" s="142"/>
      <c r="I16" s="143"/>
      <c r="J16" s="143"/>
      <c r="K16" s="142"/>
      <c r="L16" s="51" t="str">
        <f t="shared" si="1"/>
        <v/>
      </c>
      <c r="M16" s="45"/>
      <c r="N16" s="46"/>
    </row>
    <row r="17" spans="2:14" ht="43.9" customHeight="1" x14ac:dyDescent="0.25">
      <c r="B17" s="42" t="str">
        <f t="shared" si="2"/>
        <v/>
      </c>
      <c r="C17" s="253"/>
      <c r="D17" s="253"/>
      <c r="E17" s="253"/>
      <c r="F17" s="253"/>
      <c r="G17" s="141"/>
      <c r="H17" s="142"/>
      <c r="I17" s="143"/>
      <c r="J17" s="143"/>
      <c r="K17" s="142"/>
      <c r="L17" s="51" t="str">
        <f t="shared" si="1"/>
        <v/>
      </c>
      <c r="M17" s="45"/>
      <c r="N17" s="46"/>
    </row>
    <row r="18" spans="2:14" ht="43.9" customHeight="1" x14ac:dyDescent="0.25">
      <c r="B18" s="42" t="str">
        <f t="shared" si="2"/>
        <v/>
      </c>
      <c r="C18" s="253"/>
      <c r="D18" s="253"/>
      <c r="E18" s="253"/>
      <c r="F18" s="253"/>
      <c r="G18" s="141"/>
      <c r="H18" s="142"/>
      <c r="I18" s="143"/>
      <c r="J18" s="143"/>
      <c r="K18" s="142"/>
      <c r="L18" s="51" t="str">
        <f t="shared" si="1"/>
        <v/>
      </c>
      <c r="M18" s="45"/>
      <c r="N18" s="46"/>
    </row>
    <row r="19" spans="2:14" ht="43.9" customHeight="1" x14ac:dyDescent="0.25">
      <c r="B19" s="42" t="str">
        <f t="shared" si="2"/>
        <v/>
      </c>
      <c r="C19" s="253"/>
      <c r="D19" s="253"/>
      <c r="E19" s="253"/>
      <c r="F19" s="253"/>
      <c r="G19" s="141"/>
      <c r="H19" s="142"/>
      <c r="I19" s="143"/>
      <c r="J19" s="143"/>
      <c r="K19" s="142"/>
      <c r="L19" s="51" t="str">
        <f t="shared" si="1"/>
        <v/>
      </c>
      <c r="M19" s="45"/>
      <c r="N19" s="46"/>
    </row>
    <row r="20" spans="2:14" ht="43.9" customHeight="1" x14ac:dyDescent="0.25">
      <c r="B20" s="42" t="str">
        <f t="shared" si="2"/>
        <v/>
      </c>
      <c r="C20" s="253"/>
      <c r="D20" s="253"/>
      <c r="E20" s="253"/>
      <c r="F20" s="253"/>
      <c r="G20" s="141"/>
      <c r="H20" s="142"/>
      <c r="I20" s="143"/>
      <c r="J20" s="143"/>
      <c r="K20" s="142"/>
      <c r="L20" s="51" t="str">
        <f t="shared" si="1"/>
        <v/>
      </c>
      <c r="M20" s="45"/>
      <c r="N20" s="46"/>
    </row>
    <row r="21" spans="2:14" ht="43.9" customHeight="1" x14ac:dyDescent="0.25">
      <c r="B21" s="42" t="str">
        <f t="shared" si="2"/>
        <v/>
      </c>
      <c r="C21" s="253"/>
      <c r="D21" s="253"/>
      <c r="E21" s="253"/>
      <c r="F21" s="253"/>
      <c r="G21" s="141"/>
      <c r="H21" s="142"/>
      <c r="I21" s="143"/>
      <c r="J21" s="143"/>
      <c r="K21" s="142"/>
      <c r="L21" s="51" t="str">
        <f t="shared" si="1"/>
        <v/>
      </c>
      <c r="M21" s="45"/>
      <c r="N21" s="46"/>
    </row>
    <row r="22" spans="2:14" ht="43.9" customHeight="1" x14ac:dyDescent="0.25">
      <c r="B22" s="42" t="str">
        <f t="shared" si="2"/>
        <v/>
      </c>
      <c r="C22" s="253"/>
      <c r="D22" s="253"/>
      <c r="E22" s="253"/>
      <c r="F22" s="253"/>
      <c r="G22" s="141"/>
      <c r="H22" s="142"/>
      <c r="I22" s="143"/>
      <c r="J22" s="143"/>
      <c r="K22" s="142"/>
      <c r="L22" s="51" t="str">
        <f t="shared" si="1"/>
        <v/>
      </c>
      <c r="M22" s="45"/>
      <c r="N22" s="46"/>
    </row>
    <row r="23" spans="2:14" ht="43.9" customHeight="1" x14ac:dyDescent="0.25">
      <c r="B23" s="42" t="str">
        <f t="shared" si="2"/>
        <v/>
      </c>
      <c r="C23" s="253"/>
      <c r="D23" s="253"/>
      <c r="E23" s="253"/>
      <c r="F23" s="253"/>
      <c r="G23" s="141"/>
      <c r="H23" s="142"/>
      <c r="I23" s="143"/>
      <c r="J23" s="143"/>
      <c r="K23" s="142"/>
      <c r="L23" s="51" t="str">
        <f t="shared" si="1"/>
        <v/>
      </c>
      <c r="M23" s="45"/>
      <c r="N23" s="46"/>
    </row>
    <row r="24" spans="2:14" ht="43.9" customHeight="1" x14ac:dyDescent="0.25">
      <c r="B24" s="42" t="str">
        <f t="shared" si="2"/>
        <v/>
      </c>
      <c r="C24" s="253"/>
      <c r="D24" s="253"/>
      <c r="E24" s="253"/>
      <c r="F24" s="253"/>
      <c r="G24" s="141"/>
      <c r="H24" s="142"/>
      <c r="I24" s="143"/>
      <c r="J24" s="143"/>
      <c r="K24" s="142"/>
      <c r="L24" s="51" t="str">
        <f t="shared" si="1"/>
        <v/>
      </c>
      <c r="M24" s="45"/>
      <c r="N24" s="46"/>
    </row>
    <row r="25" spans="2:14" ht="43.9" customHeight="1" x14ac:dyDescent="0.25">
      <c r="B25" s="42" t="str">
        <f t="shared" si="2"/>
        <v/>
      </c>
      <c r="C25" s="253"/>
      <c r="D25" s="253"/>
      <c r="E25" s="253"/>
      <c r="F25" s="253"/>
      <c r="G25" s="141"/>
      <c r="H25" s="142"/>
      <c r="I25" s="143"/>
      <c r="J25" s="143"/>
      <c r="K25" s="142"/>
      <c r="L25" s="51" t="str">
        <f t="shared" si="1"/>
        <v/>
      </c>
      <c r="M25" s="45"/>
      <c r="N25" s="46"/>
    </row>
    <row r="26" spans="2:14" ht="43.9" customHeight="1" x14ac:dyDescent="0.25">
      <c r="B26" s="42" t="str">
        <f t="shared" si="2"/>
        <v/>
      </c>
      <c r="C26" s="253"/>
      <c r="D26" s="253"/>
      <c r="E26" s="253"/>
      <c r="F26" s="253"/>
      <c r="G26" s="141"/>
      <c r="H26" s="142"/>
      <c r="I26" s="143"/>
      <c r="J26" s="143"/>
      <c r="K26" s="142"/>
      <c r="L26" s="51" t="str">
        <f t="shared" si="1"/>
        <v/>
      </c>
      <c r="M26" s="45"/>
      <c r="N26" s="46"/>
    </row>
    <row r="27" spans="2:14" ht="43.9" customHeight="1" x14ac:dyDescent="0.25">
      <c r="B27" s="42" t="str">
        <f t="shared" si="2"/>
        <v/>
      </c>
      <c r="C27" s="253"/>
      <c r="D27" s="253"/>
      <c r="E27" s="253"/>
      <c r="F27" s="253"/>
      <c r="G27" s="141"/>
      <c r="H27" s="142"/>
      <c r="I27" s="143"/>
      <c r="J27" s="143"/>
      <c r="K27" s="142"/>
      <c r="L27" s="51" t="str">
        <f t="shared" si="1"/>
        <v/>
      </c>
      <c r="M27" s="45"/>
      <c r="N27" s="46"/>
    </row>
    <row r="28" spans="2:14" ht="43.9" customHeight="1" x14ac:dyDescent="0.25">
      <c r="B28" s="42" t="str">
        <f t="shared" si="2"/>
        <v/>
      </c>
      <c r="C28" s="253"/>
      <c r="D28" s="253"/>
      <c r="E28" s="253"/>
      <c r="F28" s="253"/>
      <c r="G28" s="141"/>
      <c r="H28" s="142"/>
      <c r="I28" s="143"/>
      <c r="J28" s="143"/>
      <c r="K28" s="142"/>
      <c r="L28" s="51" t="str">
        <f t="shared" si="1"/>
        <v/>
      </c>
      <c r="M28" s="45"/>
      <c r="N28" s="46"/>
    </row>
    <row r="29" spans="2:14" ht="43.9" customHeight="1" x14ac:dyDescent="0.25">
      <c r="B29" s="42" t="str">
        <f t="shared" si="2"/>
        <v/>
      </c>
      <c r="C29" s="253"/>
      <c r="D29" s="253"/>
      <c r="E29" s="253"/>
      <c r="F29" s="253"/>
      <c r="G29" s="141"/>
      <c r="H29" s="142"/>
      <c r="I29" s="143"/>
      <c r="J29" s="143"/>
      <c r="K29" s="142"/>
      <c r="L29" s="51" t="str">
        <f t="shared" si="1"/>
        <v/>
      </c>
      <c r="M29" s="45"/>
      <c r="N29" s="46"/>
    </row>
    <row r="30" spans="2:14" ht="43.9" customHeight="1" x14ac:dyDescent="0.25">
      <c r="B30" s="42" t="str">
        <f t="shared" si="2"/>
        <v/>
      </c>
      <c r="C30" s="253"/>
      <c r="D30" s="253"/>
      <c r="E30" s="253"/>
      <c r="F30" s="253"/>
      <c r="G30" s="141"/>
      <c r="H30" s="142"/>
      <c r="I30" s="143"/>
      <c r="J30" s="143"/>
      <c r="K30" s="142"/>
      <c r="L30" s="51" t="str">
        <f t="shared" si="1"/>
        <v/>
      </c>
      <c r="M30" s="45"/>
      <c r="N30" s="46"/>
    </row>
    <row r="31" spans="2:14" ht="43.9" customHeight="1" x14ac:dyDescent="0.25">
      <c r="B31" s="42" t="str">
        <f t="shared" si="2"/>
        <v/>
      </c>
      <c r="C31" s="253"/>
      <c r="D31" s="253"/>
      <c r="E31" s="253"/>
      <c r="F31" s="253"/>
      <c r="G31" s="141"/>
      <c r="H31" s="142"/>
      <c r="I31" s="143"/>
      <c r="J31" s="143"/>
      <c r="K31" s="142"/>
      <c r="L31" s="51" t="str">
        <f t="shared" si="1"/>
        <v/>
      </c>
      <c r="M31" s="45"/>
      <c r="N31" s="46"/>
    </row>
    <row r="32" spans="2:14" ht="43.9" customHeight="1" x14ac:dyDescent="0.25">
      <c r="B32" s="42" t="str">
        <f t="shared" si="2"/>
        <v/>
      </c>
      <c r="C32" s="253"/>
      <c r="D32" s="253"/>
      <c r="E32" s="253"/>
      <c r="F32" s="253"/>
      <c r="G32" s="141"/>
      <c r="H32" s="142"/>
      <c r="I32" s="143"/>
      <c r="J32" s="143"/>
      <c r="K32" s="142"/>
      <c r="L32" s="51" t="str">
        <f t="shared" si="1"/>
        <v/>
      </c>
      <c r="M32" s="45"/>
      <c r="N32" s="46"/>
    </row>
    <row r="33" spans="2:14" ht="43.9" customHeight="1" x14ac:dyDescent="0.25">
      <c r="B33" s="42" t="str">
        <f t="shared" si="2"/>
        <v/>
      </c>
      <c r="C33" s="253"/>
      <c r="D33" s="253"/>
      <c r="E33" s="253"/>
      <c r="F33" s="253"/>
      <c r="G33" s="141"/>
      <c r="H33" s="142"/>
      <c r="I33" s="143"/>
      <c r="J33" s="143"/>
      <c r="K33" s="142"/>
      <c r="L33" s="51" t="str">
        <f t="shared" si="1"/>
        <v/>
      </c>
      <c r="M33" s="45"/>
      <c r="N33" s="46"/>
    </row>
    <row r="34" spans="2:14" ht="43.9" customHeight="1" x14ac:dyDescent="0.25">
      <c r="B34" s="42" t="str">
        <f t="shared" si="2"/>
        <v/>
      </c>
      <c r="C34" s="253"/>
      <c r="D34" s="253"/>
      <c r="E34" s="253"/>
      <c r="F34" s="253"/>
      <c r="G34" s="141"/>
      <c r="H34" s="142"/>
      <c r="I34" s="143"/>
      <c r="J34" s="143"/>
      <c r="K34" s="142"/>
      <c r="L34" s="51" t="str">
        <f t="shared" si="1"/>
        <v/>
      </c>
      <c r="M34" s="45"/>
      <c r="N34" s="46"/>
    </row>
    <row r="35" spans="2:14" ht="43.9" customHeight="1" x14ac:dyDescent="0.25">
      <c r="B35" s="42" t="str">
        <f t="shared" si="2"/>
        <v/>
      </c>
      <c r="C35" s="253"/>
      <c r="D35" s="253"/>
      <c r="E35" s="253"/>
      <c r="F35" s="253"/>
      <c r="G35" s="141"/>
      <c r="H35" s="142"/>
      <c r="I35" s="143"/>
      <c r="J35" s="143"/>
      <c r="K35" s="142"/>
      <c r="L35" s="51" t="str">
        <f t="shared" si="1"/>
        <v/>
      </c>
      <c r="M35" s="45"/>
      <c r="N35" s="46"/>
    </row>
    <row r="36" spans="2:14" ht="43.9" customHeight="1" x14ac:dyDescent="0.25">
      <c r="B36" s="42" t="str">
        <f t="shared" si="2"/>
        <v/>
      </c>
      <c r="C36" s="253"/>
      <c r="D36" s="253"/>
      <c r="E36" s="253"/>
      <c r="F36" s="253"/>
      <c r="G36" s="141"/>
      <c r="H36" s="142"/>
      <c r="I36" s="143"/>
      <c r="J36" s="143"/>
      <c r="K36" s="142"/>
      <c r="L36" s="51" t="str">
        <f t="shared" si="1"/>
        <v/>
      </c>
      <c r="M36" s="45"/>
      <c r="N36" s="46"/>
    </row>
    <row r="37" spans="2:14" ht="43.9" customHeight="1" x14ac:dyDescent="0.25">
      <c r="B37" s="42" t="str">
        <f t="shared" si="2"/>
        <v/>
      </c>
      <c r="C37" s="253"/>
      <c r="D37" s="253"/>
      <c r="E37" s="253"/>
      <c r="F37" s="253"/>
      <c r="G37" s="141"/>
      <c r="H37" s="142"/>
      <c r="I37" s="143"/>
      <c r="J37" s="143"/>
      <c r="K37" s="142"/>
      <c r="L37" s="51" t="str">
        <f t="shared" si="1"/>
        <v/>
      </c>
      <c r="M37" s="45"/>
      <c r="N37" s="46"/>
    </row>
    <row r="38" spans="2:14" ht="43.9" customHeight="1" x14ac:dyDescent="0.25">
      <c r="B38" s="42" t="str">
        <f t="shared" si="2"/>
        <v/>
      </c>
      <c r="C38" s="253"/>
      <c r="D38" s="253"/>
      <c r="E38" s="253"/>
      <c r="F38" s="253"/>
      <c r="G38" s="141"/>
      <c r="H38" s="142"/>
      <c r="I38" s="143"/>
      <c r="J38" s="143"/>
      <c r="K38" s="142"/>
      <c r="L38" s="51" t="str">
        <f t="shared" si="1"/>
        <v/>
      </c>
      <c r="M38" s="45"/>
      <c r="N38" s="46"/>
    </row>
    <row r="39" spans="2:14" ht="43.9" customHeight="1" x14ac:dyDescent="0.25">
      <c r="B39" s="42" t="str">
        <f t="shared" si="2"/>
        <v/>
      </c>
      <c r="C39" s="253"/>
      <c r="D39" s="253"/>
      <c r="E39" s="253"/>
      <c r="F39" s="253"/>
      <c r="G39" s="141"/>
      <c r="H39" s="142"/>
      <c r="I39" s="143"/>
      <c r="J39" s="143"/>
      <c r="K39" s="142"/>
      <c r="L39" s="51" t="str">
        <f t="shared" si="1"/>
        <v/>
      </c>
      <c r="M39" s="45"/>
      <c r="N39" s="46"/>
    </row>
    <row r="40" spans="2:14" ht="43.9" customHeight="1" x14ac:dyDescent="0.25">
      <c r="B40" s="42" t="str">
        <f t="shared" si="2"/>
        <v/>
      </c>
      <c r="C40" s="253"/>
      <c r="D40" s="253"/>
      <c r="E40" s="253"/>
      <c r="F40" s="253"/>
      <c r="G40" s="141"/>
      <c r="H40" s="142"/>
      <c r="I40" s="143"/>
      <c r="J40" s="143"/>
      <c r="K40" s="142"/>
      <c r="L40" s="51" t="str">
        <f t="shared" si="1"/>
        <v/>
      </c>
      <c r="M40" s="45"/>
      <c r="N40" s="46"/>
    </row>
    <row r="41" spans="2:14" ht="43.9" customHeight="1" x14ac:dyDescent="0.25">
      <c r="B41" s="42" t="str">
        <f t="shared" si="2"/>
        <v/>
      </c>
      <c r="C41" s="253"/>
      <c r="D41" s="253"/>
      <c r="E41" s="253"/>
      <c r="F41" s="253"/>
      <c r="G41" s="141"/>
      <c r="H41" s="142"/>
      <c r="I41" s="143"/>
      <c r="J41" s="143"/>
      <c r="K41" s="142"/>
      <c r="L41" s="51" t="str">
        <f t="shared" si="1"/>
        <v/>
      </c>
      <c r="M41" s="45"/>
      <c r="N41" s="46"/>
    </row>
    <row r="42" spans="2:14" ht="43.9" customHeight="1" x14ac:dyDescent="0.25">
      <c r="B42" s="42" t="str">
        <f t="shared" si="2"/>
        <v/>
      </c>
      <c r="C42" s="253"/>
      <c r="D42" s="253"/>
      <c r="E42" s="253"/>
      <c r="F42" s="253"/>
      <c r="G42" s="141"/>
      <c r="H42" s="142"/>
      <c r="I42" s="143"/>
      <c r="J42" s="143"/>
      <c r="K42" s="142"/>
      <c r="L42" s="51" t="str">
        <f t="shared" si="1"/>
        <v/>
      </c>
      <c r="M42" s="45"/>
      <c r="N42" s="46"/>
    </row>
    <row r="43" spans="2:14" ht="43.9" customHeight="1" x14ac:dyDescent="0.25">
      <c r="B43" s="42" t="str">
        <f t="shared" si="2"/>
        <v/>
      </c>
      <c r="C43" s="253"/>
      <c r="D43" s="253"/>
      <c r="E43" s="253"/>
      <c r="F43" s="253"/>
      <c r="G43" s="141"/>
      <c r="H43" s="142"/>
      <c r="I43" s="143"/>
      <c r="J43" s="143"/>
      <c r="K43" s="142"/>
      <c r="L43" s="51" t="str">
        <f t="shared" si="1"/>
        <v/>
      </c>
      <c r="M43" s="45"/>
      <c r="N43" s="46"/>
    </row>
    <row r="44" spans="2:14" ht="43.9" customHeight="1" x14ac:dyDescent="0.25">
      <c r="B44" s="42" t="str">
        <f t="shared" si="2"/>
        <v/>
      </c>
      <c r="C44" s="253"/>
      <c r="D44" s="253"/>
      <c r="E44" s="253"/>
      <c r="F44" s="253"/>
      <c r="G44" s="141"/>
      <c r="H44" s="142"/>
      <c r="I44" s="143"/>
      <c r="J44" s="143"/>
      <c r="K44" s="142"/>
      <c r="L44" s="51" t="str">
        <f t="shared" si="1"/>
        <v/>
      </c>
      <c r="M44" s="45"/>
      <c r="N44" s="46"/>
    </row>
    <row r="45" spans="2:14" ht="43.9" customHeight="1" x14ac:dyDescent="0.25">
      <c r="B45" s="42" t="str">
        <f t="shared" si="2"/>
        <v/>
      </c>
      <c r="C45" s="253"/>
      <c r="D45" s="253"/>
      <c r="E45" s="253"/>
      <c r="F45" s="253"/>
      <c r="G45" s="141"/>
      <c r="H45" s="142"/>
      <c r="I45" s="143"/>
      <c r="J45" s="143"/>
      <c r="K45" s="142"/>
      <c r="L45" s="51" t="str">
        <f t="shared" si="1"/>
        <v/>
      </c>
      <c r="M45" s="45"/>
      <c r="N45" s="46"/>
    </row>
    <row r="46" spans="2:14" ht="43.9" customHeight="1" x14ac:dyDescent="0.25">
      <c r="B46" s="42" t="str">
        <f t="shared" si="2"/>
        <v/>
      </c>
      <c r="C46" s="253"/>
      <c r="D46" s="253"/>
      <c r="E46" s="253"/>
      <c r="F46" s="253"/>
      <c r="G46" s="141"/>
      <c r="H46" s="142"/>
      <c r="I46" s="143"/>
      <c r="J46" s="143"/>
      <c r="K46" s="142"/>
      <c r="L46" s="51" t="str">
        <f t="shared" si="1"/>
        <v/>
      </c>
      <c r="M46" s="45"/>
      <c r="N46" s="46"/>
    </row>
    <row r="47" spans="2:14" ht="43.9" customHeight="1" x14ac:dyDescent="0.25">
      <c r="B47" s="42" t="str">
        <f t="shared" si="2"/>
        <v/>
      </c>
      <c r="C47" s="253"/>
      <c r="D47" s="253"/>
      <c r="E47" s="253"/>
      <c r="F47" s="253"/>
      <c r="G47" s="141"/>
      <c r="H47" s="142"/>
      <c r="I47" s="143"/>
      <c r="J47" s="143"/>
      <c r="K47" s="142"/>
      <c r="L47" s="51" t="str">
        <f t="shared" si="1"/>
        <v/>
      </c>
      <c r="M47" s="45"/>
      <c r="N47" s="46"/>
    </row>
    <row r="48" spans="2:14" ht="43.9" customHeight="1" x14ac:dyDescent="0.25">
      <c r="B48" s="42" t="str">
        <f t="shared" si="2"/>
        <v/>
      </c>
      <c r="C48" s="253"/>
      <c r="D48" s="253"/>
      <c r="E48" s="253"/>
      <c r="F48" s="253"/>
      <c r="G48" s="141"/>
      <c r="H48" s="142"/>
      <c r="I48" s="143"/>
      <c r="J48" s="143"/>
      <c r="K48" s="142"/>
      <c r="L48" s="51" t="str">
        <f t="shared" si="1"/>
        <v/>
      </c>
      <c r="M48" s="45"/>
      <c r="N48" s="46"/>
    </row>
    <row r="49" spans="2:14" ht="43.9" customHeight="1" x14ac:dyDescent="0.25">
      <c r="B49" s="42" t="str">
        <f t="shared" si="2"/>
        <v/>
      </c>
      <c r="C49" s="253"/>
      <c r="D49" s="253"/>
      <c r="E49" s="253"/>
      <c r="F49" s="253"/>
      <c r="G49" s="141"/>
      <c r="H49" s="142"/>
      <c r="I49" s="143"/>
      <c r="J49" s="143"/>
      <c r="K49" s="142"/>
      <c r="L49" s="51" t="str">
        <f t="shared" si="1"/>
        <v/>
      </c>
      <c r="M49" s="45"/>
      <c r="N49" s="46"/>
    </row>
    <row r="50" spans="2:14" ht="43.9" customHeight="1" x14ac:dyDescent="0.25">
      <c r="B50" s="42" t="str">
        <f t="shared" si="2"/>
        <v/>
      </c>
      <c r="C50" s="253"/>
      <c r="D50" s="253"/>
      <c r="E50" s="253"/>
      <c r="F50" s="253"/>
      <c r="G50" s="141"/>
      <c r="H50" s="142"/>
      <c r="I50" s="143"/>
      <c r="J50" s="143"/>
      <c r="K50" s="142"/>
      <c r="L50" s="51" t="str">
        <f t="shared" si="1"/>
        <v/>
      </c>
      <c r="M50" s="45"/>
      <c r="N50" s="46"/>
    </row>
    <row r="51" spans="2:14" ht="43.9" customHeight="1" x14ac:dyDescent="0.25">
      <c r="B51" s="42" t="str">
        <f t="shared" si="2"/>
        <v/>
      </c>
      <c r="C51" s="253"/>
      <c r="D51" s="253"/>
      <c r="E51" s="253"/>
      <c r="F51" s="253"/>
      <c r="G51" s="141"/>
      <c r="H51" s="142"/>
      <c r="I51" s="143"/>
      <c r="J51" s="143"/>
      <c r="K51" s="142"/>
      <c r="L51" s="51" t="str">
        <f t="shared" si="1"/>
        <v/>
      </c>
      <c r="M51" s="45"/>
      <c r="N51" s="46"/>
    </row>
    <row r="52" spans="2:14" ht="43.9" customHeight="1" x14ac:dyDescent="0.25">
      <c r="B52" s="42" t="str">
        <f t="shared" si="2"/>
        <v/>
      </c>
      <c r="C52" s="253"/>
      <c r="D52" s="253"/>
      <c r="E52" s="253"/>
      <c r="F52" s="253"/>
      <c r="G52" s="141"/>
      <c r="H52" s="142"/>
      <c r="I52" s="143"/>
      <c r="J52" s="143"/>
      <c r="K52" s="142"/>
      <c r="L52" s="51" t="str">
        <f t="shared" si="1"/>
        <v/>
      </c>
      <c r="M52" s="45"/>
      <c r="N52" s="46"/>
    </row>
    <row r="53" spans="2:14" ht="43.9" customHeight="1" x14ac:dyDescent="0.25">
      <c r="B53" s="42" t="str">
        <f t="shared" si="2"/>
        <v/>
      </c>
      <c r="C53" s="253"/>
      <c r="D53" s="253"/>
      <c r="E53" s="253"/>
      <c r="F53" s="253"/>
      <c r="G53" s="141"/>
      <c r="H53" s="142"/>
      <c r="I53" s="143"/>
      <c r="J53" s="143"/>
      <c r="K53" s="142"/>
      <c r="L53" s="51" t="str">
        <f t="shared" si="1"/>
        <v/>
      </c>
      <c r="M53" s="45"/>
      <c r="N53" s="46"/>
    </row>
    <row r="54" spans="2:14" ht="43.9" customHeight="1" x14ac:dyDescent="0.25">
      <c r="B54" s="42" t="str">
        <f t="shared" si="2"/>
        <v/>
      </c>
      <c r="C54" s="253"/>
      <c r="D54" s="253"/>
      <c r="E54" s="253"/>
      <c r="F54" s="253"/>
      <c r="G54" s="141"/>
      <c r="H54" s="142"/>
      <c r="I54" s="143"/>
      <c r="J54" s="143"/>
      <c r="K54" s="142"/>
      <c r="L54" s="51" t="str">
        <f t="shared" si="1"/>
        <v/>
      </c>
      <c r="M54" s="45"/>
      <c r="N54" s="46"/>
    </row>
    <row r="55" spans="2:14" ht="43.9" customHeight="1" x14ac:dyDescent="0.25">
      <c r="B55" s="42" t="str">
        <f t="shared" si="2"/>
        <v/>
      </c>
      <c r="C55" s="253"/>
      <c r="D55" s="253"/>
      <c r="E55" s="253"/>
      <c r="F55" s="253"/>
      <c r="G55" s="141"/>
      <c r="H55" s="142"/>
      <c r="I55" s="143"/>
      <c r="J55" s="143"/>
      <c r="K55" s="142"/>
      <c r="L55" s="51" t="str">
        <f t="shared" si="1"/>
        <v/>
      </c>
      <c r="M55" s="45"/>
      <c r="N55" s="46"/>
    </row>
    <row r="56" spans="2:14" ht="43.9" customHeight="1" x14ac:dyDescent="0.25">
      <c r="B56" s="42" t="str">
        <f t="shared" si="2"/>
        <v/>
      </c>
      <c r="C56" s="253"/>
      <c r="D56" s="253"/>
      <c r="E56" s="253"/>
      <c r="F56" s="253"/>
      <c r="G56" s="141"/>
      <c r="H56" s="142"/>
      <c r="I56" s="143"/>
      <c r="J56" s="143"/>
      <c r="K56" s="142"/>
      <c r="L56" s="51" t="str">
        <f t="shared" si="1"/>
        <v/>
      </c>
      <c r="M56" s="45"/>
      <c r="N56" s="46"/>
    </row>
    <row r="57" spans="2:14" ht="43.9" customHeight="1" x14ac:dyDescent="0.25">
      <c r="B57" s="42" t="str">
        <f t="shared" si="2"/>
        <v/>
      </c>
      <c r="C57" s="253"/>
      <c r="D57" s="253"/>
      <c r="E57" s="253"/>
      <c r="F57" s="253"/>
      <c r="G57" s="141"/>
      <c r="H57" s="142"/>
      <c r="I57" s="143"/>
      <c r="J57" s="143"/>
      <c r="K57" s="142"/>
      <c r="L57" s="51" t="str">
        <f t="shared" si="1"/>
        <v/>
      </c>
      <c r="M57" s="45"/>
      <c r="N57" s="46"/>
    </row>
    <row r="58" spans="2:14" ht="43.9" customHeight="1" x14ac:dyDescent="0.25">
      <c r="B58" s="42" t="str">
        <f t="shared" si="2"/>
        <v/>
      </c>
      <c r="C58" s="253"/>
      <c r="D58" s="253"/>
      <c r="E58" s="253"/>
      <c r="F58" s="253"/>
      <c r="G58" s="141"/>
      <c r="H58" s="142"/>
      <c r="I58" s="143"/>
      <c r="J58" s="143"/>
      <c r="K58" s="142"/>
      <c r="L58" s="51" t="str">
        <f t="shared" si="1"/>
        <v/>
      </c>
      <c r="M58" s="45"/>
      <c r="N58" s="46"/>
    </row>
    <row r="59" spans="2:14" ht="43.9" customHeight="1" x14ac:dyDescent="0.25">
      <c r="B59" s="42" t="str">
        <f t="shared" si="2"/>
        <v/>
      </c>
      <c r="C59" s="253"/>
      <c r="D59" s="253"/>
      <c r="E59" s="253"/>
      <c r="F59" s="253"/>
      <c r="G59" s="141"/>
      <c r="H59" s="142"/>
      <c r="I59" s="143"/>
      <c r="J59" s="143"/>
      <c r="K59" s="142"/>
      <c r="L59" s="51" t="str">
        <f t="shared" si="1"/>
        <v/>
      </c>
      <c r="M59" s="45"/>
      <c r="N59" s="46"/>
    </row>
  </sheetData>
  <sheetProtection algorithmName="SHA-512" hashValue="G0T+5RFQ8aRTtNBKWeY/NwdJRWNcOQZgUs0ZMMTWzPsVggjhEstyRUJvscMRMT4495C9KsVKWBvxGY/HxMimxw==" saltValue="1Q0ZKaFw7CJxWty26lItgA==" spinCount="100000" sheet="1" objects="1" scenarios="1"/>
  <dataConsolidate/>
  <mergeCells count="58">
    <mergeCell ref="C14:F14"/>
    <mergeCell ref="C20:F20"/>
    <mergeCell ref="C21:F21"/>
    <mergeCell ref="C17:F17"/>
    <mergeCell ref="C18:F18"/>
    <mergeCell ref="C19:F19"/>
    <mergeCell ref="C28:F28"/>
    <mergeCell ref="C29:F29"/>
    <mergeCell ref="C24:F24"/>
    <mergeCell ref="C25:F25"/>
    <mergeCell ref="C26:F26"/>
    <mergeCell ref="C27:F27"/>
    <mergeCell ref="B2:N2"/>
    <mergeCell ref="C22:F22"/>
    <mergeCell ref="C23:F23"/>
    <mergeCell ref="C3:F3"/>
    <mergeCell ref="C9:F9"/>
    <mergeCell ref="C10:F10"/>
    <mergeCell ref="C5:F5"/>
    <mergeCell ref="C6:F6"/>
    <mergeCell ref="C7:F7"/>
    <mergeCell ref="C8:F8"/>
    <mergeCell ref="C15:F15"/>
    <mergeCell ref="C16:F16"/>
    <mergeCell ref="C4:F4"/>
    <mergeCell ref="C11:F11"/>
    <mergeCell ref="C12:F12"/>
    <mergeCell ref="C13:F13"/>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5:F55"/>
    <mergeCell ref="C56:F56"/>
    <mergeCell ref="C57:F57"/>
    <mergeCell ref="C58:F58"/>
    <mergeCell ref="C59:F59"/>
    <mergeCell ref="C50:F50"/>
    <mergeCell ref="C51:F51"/>
    <mergeCell ref="C52:F52"/>
    <mergeCell ref="C53:F53"/>
    <mergeCell ref="C54:F54"/>
  </mergeCells>
  <dataValidations count="1">
    <dataValidation type="list" allowBlank="1" showInputMessage="1" showErrorMessage="1" sqref="C9:F59 D5:F8 C4:C8">
      <formula1>fs_non_led</formula1>
    </dataValidation>
  </dataValidations>
  <pageMargins left="0.7" right="0.7" top="0.75" bottom="0.75" header="0.3" footer="0.3"/>
  <pageSetup paperSize="9"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1"/>
  <sheetViews>
    <sheetView topLeftCell="C1" zoomScale="115" zoomScaleNormal="115" zoomScalePageLayoutView="115" workbookViewId="0">
      <selection activeCell="D8" sqref="D8:G8"/>
    </sheetView>
  </sheetViews>
  <sheetFormatPr defaultColWidth="8.85546875" defaultRowHeight="15" x14ac:dyDescent="0.25"/>
  <cols>
    <col min="1" max="1" width="0.7109375" style="16" customWidth="1"/>
    <col min="2" max="2" width="3.85546875" style="16" bestFit="1" customWidth="1"/>
    <col min="3" max="3" width="15.85546875" style="16" customWidth="1"/>
    <col min="4" max="7" width="8.140625" style="16" customWidth="1"/>
    <col min="8" max="8" width="12.28515625" style="16" customWidth="1"/>
    <col min="9" max="9" width="8.5703125" style="16" customWidth="1"/>
    <col min="10" max="10" width="10.5703125" style="16" customWidth="1"/>
    <col min="11" max="12" width="11.140625" style="16" customWidth="1"/>
    <col min="13" max="13" width="10.140625" style="16" customWidth="1"/>
    <col min="14" max="15" width="8.85546875" style="16"/>
    <col min="16" max="16" width="2.7109375" style="16" customWidth="1"/>
    <col min="17" max="16384" width="8.85546875" style="16"/>
  </cols>
  <sheetData>
    <row r="1" spans="2:15" ht="15.75" thickBot="1" x14ac:dyDescent="0.3"/>
    <row r="2" spans="2:15" ht="15.75" x14ac:dyDescent="0.25">
      <c r="B2" s="248" t="s">
        <v>176</v>
      </c>
      <c r="C2" s="249"/>
      <c r="D2" s="249"/>
      <c r="E2" s="249"/>
      <c r="F2" s="249"/>
      <c r="G2" s="249"/>
      <c r="H2" s="249"/>
      <c r="I2" s="249"/>
      <c r="J2" s="249"/>
      <c r="K2" s="249"/>
      <c r="L2" s="249"/>
      <c r="M2" s="249"/>
      <c r="N2" s="249"/>
      <c r="O2" s="250"/>
    </row>
    <row r="3" spans="2:15" ht="51" x14ac:dyDescent="0.25">
      <c r="B3" s="37" t="s">
        <v>18</v>
      </c>
      <c r="C3" s="192" t="s">
        <v>24</v>
      </c>
      <c r="D3" s="259" t="s">
        <v>25</v>
      </c>
      <c r="E3" s="260"/>
      <c r="F3" s="260"/>
      <c r="G3" s="261"/>
      <c r="H3" s="191" t="s">
        <v>23</v>
      </c>
      <c r="I3" s="38" t="s">
        <v>20</v>
      </c>
      <c r="J3" s="191" t="s">
        <v>37</v>
      </c>
      <c r="K3" s="191" t="s">
        <v>191</v>
      </c>
      <c r="L3" s="191" t="s">
        <v>162</v>
      </c>
      <c r="M3" s="191" t="s">
        <v>163</v>
      </c>
      <c r="N3" s="191" t="s">
        <v>26</v>
      </c>
      <c r="O3" s="48" t="s">
        <v>76</v>
      </c>
    </row>
    <row r="4" spans="2:15" ht="30" customHeight="1" x14ac:dyDescent="0.25">
      <c r="B4" s="42">
        <f>IF('Συμβατικά ΦΣ'!B4&lt;&gt;"",'Συμβατικά ΦΣ'!B4,"")</f>
        <v>1</v>
      </c>
      <c r="C4" s="43" t="str">
        <f>IF(B4&lt;&gt;"",'Συμβατικά ΦΣ'!G4 &amp; " -" &amp; 'Συμβατικά ΦΣ'!J4 &amp; "W","")</f>
        <v>Na250W-1 -287,5W</v>
      </c>
      <c r="D4" s="258" t="s">
        <v>249</v>
      </c>
      <c r="E4" s="258"/>
      <c r="F4" s="258"/>
      <c r="G4" s="258"/>
      <c r="H4" s="145" t="s">
        <v>284</v>
      </c>
      <c r="I4" s="44">
        <f>IF(B4&lt;&gt;"",'Συμβατικά ΦΣ'!H4,"")</f>
        <v>2380</v>
      </c>
      <c r="J4" s="44">
        <f>IF(C4&lt;&gt;"",ROUND('Γενικά Δεδομένα'!$I$14*I4,0),"")</f>
        <v>0</v>
      </c>
      <c r="K4" s="195">
        <v>110</v>
      </c>
      <c r="L4" s="144">
        <v>13800</v>
      </c>
      <c r="M4" s="15">
        <f t="shared" ref="M4:M7" si="0">IF(K4&lt;&gt;"",ROUND(L4/K4,2),"")</f>
        <v>125.45</v>
      </c>
      <c r="N4" s="144">
        <v>812</v>
      </c>
      <c r="O4" s="146" t="s">
        <v>275</v>
      </c>
    </row>
    <row r="5" spans="2:15" ht="30" customHeight="1" x14ac:dyDescent="0.25">
      <c r="B5" s="42">
        <f>IF('Συμβατικά ΦΣ'!B5&lt;&gt;"",'Συμβατικά ΦΣ'!B5,"")</f>
        <v>2</v>
      </c>
      <c r="C5" s="43" t="str">
        <f>IF(B5&lt;&gt;"",'Συμβατικά ΦΣ'!G5 &amp; " -" &amp; 'Συμβατικά ΦΣ'!J5 &amp; "W","")</f>
        <v>Na250W-2 -287,5W</v>
      </c>
      <c r="D5" s="258" t="s">
        <v>248</v>
      </c>
      <c r="E5" s="258"/>
      <c r="F5" s="258"/>
      <c r="G5" s="258"/>
      <c r="H5" s="145" t="s">
        <v>294</v>
      </c>
      <c r="I5" s="44">
        <f>IF(B5&lt;&gt;"",'Συμβατικά ΦΣ'!H5,"")</f>
        <v>2435</v>
      </c>
      <c r="J5" s="44">
        <f>IF(C5&lt;&gt;"",ROUND('Γενικά Δεδομένα'!$I$14*I5,0),"")</f>
        <v>0</v>
      </c>
      <c r="K5" s="195">
        <v>110</v>
      </c>
      <c r="L5" s="144">
        <v>10500</v>
      </c>
      <c r="M5" s="15">
        <f t="shared" si="0"/>
        <v>95.45</v>
      </c>
      <c r="N5" s="144">
        <v>533</v>
      </c>
      <c r="O5" s="146" t="s">
        <v>275</v>
      </c>
    </row>
    <row r="6" spans="2:15" ht="30" customHeight="1" x14ac:dyDescent="0.25">
      <c r="B6" s="42">
        <f>IF('Συμβατικά ΦΣ'!B6&lt;&gt;"",'Συμβατικά ΦΣ'!B6,"")</f>
        <v>3</v>
      </c>
      <c r="C6" s="43" t="str">
        <f>IF(B6&lt;&gt;"",'Συμβατικά ΦΣ'!G6 &amp; " -" &amp; 'Συμβατικά ΦΣ'!J6 &amp; "W","")</f>
        <v>Na250W-3 -287,5W</v>
      </c>
      <c r="D6" s="258" t="s">
        <v>247</v>
      </c>
      <c r="E6" s="258"/>
      <c r="F6" s="258"/>
      <c r="G6" s="258"/>
      <c r="H6" s="145" t="s">
        <v>295</v>
      </c>
      <c r="I6" s="44">
        <f>IF(B6&lt;&gt;"",'Συμβατικά ΦΣ'!H6,"")</f>
        <v>383</v>
      </c>
      <c r="J6" s="44">
        <f>IF(C6&lt;&gt;"",ROUND('Γενικά Δεδομένα'!$I$14*I6,0),"")</f>
        <v>0</v>
      </c>
      <c r="K6" s="195">
        <v>105</v>
      </c>
      <c r="L6" s="144">
        <v>8000</v>
      </c>
      <c r="M6" s="15">
        <f t="shared" si="0"/>
        <v>76.19</v>
      </c>
      <c r="N6" s="144">
        <v>506</v>
      </c>
      <c r="O6" s="146" t="s">
        <v>275</v>
      </c>
    </row>
    <row r="7" spans="2:15" ht="30" customHeight="1" x14ac:dyDescent="0.25">
      <c r="B7" s="42">
        <f>IF('Συμβατικά ΦΣ'!B7&lt;&gt;"",'Συμβατικά ΦΣ'!B7,"")</f>
        <v>4</v>
      </c>
      <c r="C7" s="43" t="str">
        <f>IF(B7&lt;&gt;"",'Συμβατικά ΦΣ'!G7 &amp; " -" &amp; 'Συμβατικά ΦΣ'!J7 &amp; "W","")</f>
        <v>FLL1000W -1200W</v>
      </c>
      <c r="D7" s="258" t="s">
        <v>293</v>
      </c>
      <c r="E7" s="258"/>
      <c r="F7" s="258"/>
      <c r="G7" s="258"/>
      <c r="H7" s="145" t="s">
        <v>296</v>
      </c>
      <c r="I7" s="44">
        <f>IF(B7&lt;&gt;"",'Συμβατικά ΦΣ'!H7,"")</f>
        <v>10</v>
      </c>
      <c r="J7" s="44">
        <f>IF(C7&lt;&gt;"",ROUND('Γενικά Δεδομένα'!$I$14*I7,0),"")</f>
        <v>0</v>
      </c>
      <c r="K7" s="195">
        <v>85</v>
      </c>
      <c r="L7" s="144">
        <v>16000</v>
      </c>
      <c r="M7" s="15">
        <f t="shared" si="0"/>
        <v>188.24</v>
      </c>
      <c r="N7" s="144">
        <v>812</v>
      </c>
      <c r="O7" s="146" t="s">
        <v>275</v>
      </c>
    </row>
    <row r="8" spans="2:15" ht="40.9" customHeight="1" x14ac:dyDescent="0.25">
      <c r="B8" s="42"/>
      <c r="C8" s="43"/>
      <c r="D8" s="258"/>
      <c r="E8" s="258"/>
      <c r="F8" s="258"/>
      <c r="G8" s="258"/>
      <c r="H8" s="145"/>
      <c r="I8" s="44"/>
      <c r="J8" s="44"/>
      <c r="K8" s="193"/>
      <c r="L8" s="193"/>
      <c r="M8" s="15"/>
      <c r="N8" s="193"/>
      <c r="O8" s="146"/>
    </row>
    <row r="9" spans="2:15" ht="38.450000000000003" customHeight="1" x14ac:dyDescent="0.25">
      <c r="B9" s="42"/>
      <c r="C9" s="43"/>
      <c r="D9" s="258"/>
      <c r="E9" s="258"/>
      <c r="F9" s="258"/>
      <c r="G9" s="258"/>
      <c r="H9" s="145"/>
      <c r="I9" s="44"/>
      <c r="J9" s="44"/>
      <c r="K9" s="193"/>
      <c r="L9" s="193"/>
      <c r="M9" s="15"/>
      <c r="N9" s="193"/>
      <c r="O9" s="146"/>
    </row>
    <row r="10" spans="2:15" ht="39.6" customHeight="1" x14ac:dyDescent="0.25">
      <c r="B10" s="42"/>
      <c r="C10" s="43"/>
      <c r="D10" s="258"/>
      <c r="E10" s="258"/>
      <c r="F10" s="258"/>
      <c r="G10" s="258"/>
      <c r="H10" s="145"/>
      <c r="I10" s="44"/>
      <c r="J10" s="44"/>
      <c r="K10" s="193"/>
      <c r="L10" s="193"/>
      <c r="M10" s="15"/>
      <c r="N10" s="193"/>
      <c r="O10" s="146"/>
    </row>
    <row r="11" spans="2:15" ht="37.9" customHeight="1" x14ac:dyDescent="0.25">
      <c r="B11" s="42"/>
      <c r="C11" s="43"/>
      <c r="D11" s="258"/>
      <c r="E11" s="258"/>
      <c r="F11" s="258"/>
      <c r="G11" s="258"/>
      <c r="H11" s="145"/>
      <c r="I11" s="44"/>
      <c r="J11" s="44"/>
      <c r="K11" s="193"/>
      <c r="L11" s="193"/>
      <c r="M11" s="15"/>
      <c r="N11" s="193"/>
      <c r="O11" s="146"/>
    </row>
    <row r="12" spans="2:15" ht="30" customHeight="1" x14ac:dyDescent="0.25">
      <c r="B12" s="42"/>
      <c r="C12" s="43"/>
      <c r="D12" s="258"/>
      <c r="E12" s="258"/>
      <c r="F12" s="258"/>
      <c r="G12" s="258"/>
      <c r="H12" s="145"/>
      <c r="I12" s="44"/>
      <c r="J12" s="44"/>
      <c r="K12" s="193"/>
      <c r="L12" s="193"/>
      <c r="M12" s="15"/>
      <c r="N12" s="193"/>
      <c r="O12" s="146"/>
    </row>
    <row r="13" spans="2:15" ht="30" customHeight="1" x14ac:dyDescent="0.25">
      <c r="B13" s="42"/>
      <c r="C13" s="43"/>
      <c r="D13" s="258"/>
      <c r="E13" s="258"/>
      <c r="F13" s="258"/>
      <c r="G13" s="258"/>
      <c r="H13" s="145"/>
      <c r="I13" s="44"/>
      <c r="J13" s="44"/>
      <c r="K13" s="193"/>
      <c r="L13" s="193"/>
      <c r="M13" s="15"/>
      <c r="N13" s="193"/>
      <c r="O13" s="146"/>
    </row>
    <row r="14" spans="2:15" ht="30" customHeight="1" x14ac:dyDescent="0.25">
      <c r="B14" s="42" t="str">
        <f>IF('Συμβατικά ΦΣ'!B13&lt;&gt;"",'Συμβατικά ΦΣ'!B13,"")</f>
        <v/>
      </c>
      <c r="C14" s="43" t="str">
        <f>IF(B14&lt;&gt;"",'Συμβατικά ΦΣ'!G13 &amp; " -" &amp; 'Συμβατικά ΦΣ'!I13 &amp; "W","")</f>
        <v/>
      </c>
      <c r="D14" s="258"/>
      <c r="E14" s="258"/>
      <c r="F14" s="258"/>
      <c r="G14" s="258"/>
      <c r="H14" s="145"/>
      <c r="I14" s="44" t="str">
        <f>IF(B14&lt;&gt;"",'Συμβατικά ΦΣ'!H13,"")</f>
        <v/>
      </c>
      <c r="J14" s="44" t="str">
        <f>IF(C14&lt;&gt;"",ROUND('Γενικά Δεδομένα'!$I$14*I14,0),"")</f>
        <v/>
      </c>
      <c r="K14" s="193"/>
      <c r="L14" s="193"/>
      <c r="M14" s="15" t="str">
        <f t="shared" ref="M14:M60" si="1">IF(K14&lt;&gt;"",ROUND(L14/K14,2),"")</f>
        <v/>
      </c>
      <c r="N14" s="193" t="str">
        <f>IF(D14&lt;&gt;"",SUMIF(fs_led,'Νέα ΦΣ'!D14,Βοήθεια!$E$39:$E$44),"")</f>
        <v/>
      </c>
      <c r="O14" s="146"/>
    </row>
    <row r="15" spans="2:15" ht="30" customHeight="1" x14ac:dyDescent="0.25">
      <c r="B15" s="42" t="str">
        <f>IF('Συμβατικά ΦΣ'!B14&lt;&gt;"",'Συμβατικά ΦΣ'!B14,"")</f>
        <v/>
      </c>
      <c r="C15" s="43" t="str">
        <f>IF(B15&lt;&gt;"",'Συμβατικά ΦΣ'!G14 &amp; " -" &amp; 'Συμβατικά ΦΣ'!I14 &amp; "W","")</f>
        <v/>
      </c>
      <c r="D15" s="258"/>
      <c r="E15" s="258"/>
      <c r="F15" s="258"/>
      <c r="G15" s="258"/>
      <c r="H15" s="145"/>
      <c r="I15" s="44" t="str">
        <f>IF(B15&lt;&gt;"",'Συμβατικά ΦΣ'!H14,"")</f>
        <v/>
      </c>
      <c r="J15" s="44" t="str">
        <f>IF(C15&lt;&gt;"",ROUND('Γενικά Δεδομένα'!$I$14*I15,0),"")</f>
        <v/>
      </c>
      <c r="K15" s="193"/>
      <c r="L15" s="193"/>
      <c r="M15" s="15" t="str">
        <f t="shared" si="1"/>
        <v/>
      </c>
      <c r="N15" s="193" t="str">
        <f>IF(D15&lt;&gt;"",SUMIF(fs_led,'Νέα ΦΣ'!D15,Βοήθεια!$E$39:$E$44),"")</f>
        <v/>
      </c>
      <c r="O15" s="146"/>
    </row>
    <row r="16" spans="2:15" ht="30" customHeight="1" x14ac:dyDescent="0.25">
      <c r="B16" s="42" t="str">
        <f>IF('Συμβατικά ΦΣ'!B15&lt;&gt;"",'Συμβατικά ΦΣ'!B15,"")</f>
        <v/>
      </c>
      <c r="C16" s="43" t="str">
        <f>IF(B16&lt;&gt;"",'Συμβατικά ΦΣ'!G15 &amp; " -" &amp; 'Συμβατικά ΦΣ'!I15 &amp; "W","")</f>
        <v/>
      </c>
      <c r="D16" s="258"/>
      <c r="E16" s="258"/>
      <c r="F16" s="258"/>
      <c r="G16" s="258"/>
      <c r="H16" s="145"/>
      <c r="I16" s="44" t="str">
        <f>IF(B16&lt;&gt;"",'Συμβατικά ΦΣ'!H15,"")</f>
        <v/>
      </c>
      <c r="J16" s="44" t="str">
        <f>IF(C16&lt;&gt;"",ROUND('Γενικά Δεδομένα'!$I$14*I16,0),"")</f>
        <v/>
      </c>
      <c r="K16" s="193"/>
      <c r="L16" s="193"/>
      <c r="M16" s="15" t="str">
        <f t="shared" si="1"/>
        <v/>
      </c>
      <c r="N16" s="193" t="str">
        <f>IF(D16&lt;&gt;"",SUMIF(fs_led,'Νέα ΦΣ'!D16,Βοήθεια!$E$39:$E$44),"")</f>
        <v/>
      </c>
      <c r="O16" s="146"/>
    </row>
    <row r="17" spans="2:15" ht="30" customHeight="1" x14ac:dyDescent="0.25">
      <c r="B17" s="42" t="str">
        <f>IF('Συμβατικά ΦΣ'!B16&lt;&gt;"",'Συμβατικά ΦΣ'!B16,"")</f>
        <v/>
      </c>
      <c r="C17" s="43" t="str">
        <f>IF(B17&lt;&gt;"",'Συμβατικά ΦΣ'!G16 &amp; " -" &amp; 'Συμβατικά ΦΣ'!I16 &amp; "W","")</f>
        <v/>
      </c>
      <c r="D17" s="258"/>
      <c r="E17" s="258"/>
      <c r="F17" s="258"/>
      <c r="G17" s="258"/>
      <c r="H17" s="145"/>
      <c r="I17" s="44" t="str">
        <f>IF(B17&lt;&gt;"",'Συμβατικά ΦΣ'!H16,"")</f>
        <v/>
      </c>
      <c r="J17" s="44" t="str">
        <f>IF(C17&lt;&gt;"",ROUND('Γενικά Δεδομένα'!$I$14*I17,0),"")</f>
        <v/>
      </c>
      <c r="K17" s="193"/>
      <c r="L17" s="193"/>
      <c r="M17" s="15" t="str">
        <f t="shared" si="1"/>
        <v/>
      </c>
      <c r="N17" s="193" t="str">
        <f>IF(D17&lt;&gt;"",SUMIF(fs_led,'Νέα ΦΣ'!D17,Βοήθεια!$E$39:$E$44),"")</f>
        <v/>
      </c>
      <c r="O17" s="146"/>
    </row>
    <row r="18" spans="2:15" ht="30" customHeight="1" x14ac:dyDescent="0.25">
      <c r="B18" s="42" t="str">
        <f>IF('Συμβατικά ΦΣ'!B17&lt;&gt;"",'Συμβατικά ΦΣ'!B17,"")</f>
        <v/>
      </c>
      <c r="C18" s="43" t="str">
        <f>IF(B18&lt;&gt;"",'Συμβατικά ΦΣ'!G17 &amp; " -" &amp; 'Συμβατικά ΦΣ'!I17 &amp; "W","")</f>
        <v/>
      </c>
      <c r="D18" s="258"/>
      <c r="E18" s="258"/>
      <c r="F18" s="258"/>
      <c r="G18" s="258"/>
      <c r="H18" s="145"/>
      <c r="I18" s="44" t="str">
        <f>IF(B18&lt;&gt;"",'Συμβατικά ΦΣ'!H17,"")</f>
        <v/>
      </c>
      <c r="J18" s="44" t="str">
        <f>IF(C18&lt;&gt;"",ROUND('Γενικά Δεδομένα'!$I$14*I18,0),"")</f>
        <v/>
      </c>
      <c r="K18" s="193"/>
      <c r="L18" s="193"/>
      <c r="M18" s="15" t="str">
        <f t="shared" si="1"/>
        <v/>
      </c>
      <c r="N18" s="193" t="str">
        <f>IF(D18&lt;&gt;"",SUMIF(fs_led,'Νέα ΦΣ'!D18,Βοήθεια!$E$39:$E$44),"")</f>
        <v/>
      </c>
      <c r="O18" s="146"/>
    </row>
    <row r="19" spans="2:15" ht="30" customHeight="1" x14ac:dyDescent="0.25">
      <c r="B19" s="42" t="str">
        <f>IF('Συμβατικά ΦΣ'!B18&lt;&gt;"",'Συμβατικά ΦΣ'!B18,"")</f>
        <v/>
      </c>
      <c r="C19" s="43" t="str">
        <f>IF(B19&lt;&gt;"",'Συμβατικά ΦΣ'!G18 &amp; " -" &amp; 'Συμβατικά ΦΣ'!I18 &amp; "W","")</f>
        <v/>
      </c>
      <c r="D19" s="258"/>
      <c r="E19" s="258"/>
      <c r="F19" s="258"/>
      <c r="G19" s="258"/>
      <c r="H19" s="145"/>
      <c r="I19" s="44" t="str">
        <f>IF(B19&lt;&gt;"",'Συμβατικά ΦΣ'!H18,"")</f>
        <v/>
      </c>
      <c r="J19" s="44" t="str">
        <f>IF(C19&lt;&gt;"",ROUND('Γενικά Δεδομένα'!$I$14*I19,0),"")</f>
        <v/>
      </c>
      <c r="K19" s="193"/>
      <c r="L19" s="193"/>
      <c r="M19" s="15" t="str">
        <f t="shared" si="1"/>
        <v/>
      </c>
      <c r="N19" s="193" t="str">
        <f>IF(D19&lt;&gt;"",SUMIF(fs_led,'Νέα ΦΣ'!D19,Βοήθεια!$E$39:$E$44),"")</f>
        <v/>
      </c>
      <c r="O19" s="146"/>
    </row>
    <row r="20" spans="2:15" ht="30" customHeight="1" x14ac:dyDescent="0.25">
      <c r="B20" s="42" t="str">
        <f>IF('Συμβατικά ΦΣ'!B19&lt;&gt;"",'Συμβατικά ΦΣ'!B19,"")</f>
        <v/>
      </c>
      <c r="C20" s="43" t="str">
        <f>IF(B20&lt;&gt;"",'Συμβατικά ΦΣ'!G19 &amp; " -" &amp; 'Συμβατικά ΦΣ'!I19 &amp; "W","")</f>
        <v/>
      </c>
      <c r="D20" s="258"/>
      <c r="E20" s="258"/>
      <c r="F20" s="258"/>
      <c r="G20" s="258"/>
      <c r="H20" s="145"/>
      <c r="I20" s="44" t="str">
        <f>IF(B20&lt;&gt;"",'Συμβατικά ΦΣ'!H19,"")</f>
        <v/>
      </c>
      <c r="J20" s="44" t="str">
        <f>IF(C20&lt;&gt;"",ROUND('Γενικά Δεδομένα'!$I$14*I20,0),"")</f>
        <v/>
      </c>
      <c r="K20" s="193"/>
      <c r="L20" s="193"/>
      <c r="M20" s="15" t="str">
        <f t="shared" si="1"/>
        <v/>
      </c>
      <c r="N20" s="193" t="str">
        <f>IF(D20&lt;&gt;"",SUMIF(fs_led,'Νέα ΦΣ'!D20,Βοήθεια!$E$39:$E$44),"")</f>
        <v/>
      </c>
      <c r="O20" s="146"/>
    </row>
    <row r="21" spans="2:15" ht="30" customHeight="1" x14ac:dyDescent="0.25">
      <c r="B21" s="42" t="str">
        <f>IF('Συμβατικά ΦΣ'!B20&lt;&gt;"",'Συμβατικά ΦΣ'!B20,"")</f>
        <v/>
      </c>
      <c r="C21" s="43" t="str">
        <f>IF(B21&lt;&gt;"",'Συμβατικά ΦΣ'!G20 &amp; " -" &amp; 'Συμβατικά ΦΣ'!I20 &amp; "W","")</f>
        <v/>
      </c>
      <c r="D21" s="258"/>
      <c r="E21" s="258"/>
      <c r="F21" s="258"/>
      <c r="G21" s="258"/>
      <c r="H21" s="145"/>
      <c r="I21" s="44" t="str">
        <f>IF(B21&lt;&gt;"",'Συμβατικά ΦΣ'!H20,"")</f>
        <v/>
      </c>
      <c r="J21" s="44" t="str">
        <f>IF(C21&lt;&gt;"",ROUND('Γενικά Δεδομένα'!$I$14*I21,0),"")</f>
        <v/>
      </c>
      <c r="K21" s="193"/>
      <c r="L21" s="193"/>
      <c r="M21" s="15" t="str">
        <f t="shared" si="1"/>
        <v/>
      </c>
      <c r="N21" s="193" t="str">
        <f>IF(D21&lt;&gt;"",SUMIF(fs_led,'Νέα ΦΣ'!D21,Βοήθεια!$E$39:$E$44),"")</f>
        <v/>
      </c>
      <c r="O21" s="146"/>
    </row>
    <row r="22" spans="2:15" ht="30" customHeight="1" x14ac:dyDescent="0.25">
      <c r="B22" s="42" t="str">
        <f>IF('Συμβατικά ΦΣ'!B21&lt;&gt;"",'Συμβατικά ΦΣ'!B21,"")</f>
        <v/>
      </c>
      <c r="C22" s="43" t="str">
        <f>IF(B22&lt;&gt;"",'Συμβατικά ΦΣ'!G21 &amp; " -" &amp; 'Συμβατικά ΦΣ'!I21 &amp; "W","")</f>
        <v/>
      </c>
      <c r="D22" s="258"/>
      <c r="E22" s="258"/>
      <c r="F22" s="258"/>
      <c r="G22" s="258"/>
      <c r="H22" s="145"/>
      <c r="I22" s="44" t="str">
        <f>IF(B22&lt;&gt;"",'Συμβατικά ΦΣ'!H21,"")</f>
        <v/>
      </c>
      <c r="J22" s="44" t="str">
        <f>IF(C22&lt;&gt;"",ROUND('Γενικά Δεδομένα'!$I$14*I22,0),"")</f>
        <v/>
      </c>
      <c r="K22" s="193"/>
      <c r="L22" s="193"/>
      <c r="M22" s="15" t="str">
        <f t="shared" si="1"/>
        <v/>
      </c>
      <c r="N22" s="193" t="str">
        <f>IF(D22&lt;&gt;"",SUMIF(fs_led,'Νέα ΦΣ'!D22,Βοήθεια!$E$39:$E$44),"")</f>
        <v/>
      </c>
      <c r="O22" s="146"/>
    </row>
    <row r="23" spans="2:15" ht="30" customHeight="1" x14ac:dyDescent="0.25">
      <c r="B23" s="42" t="str">
        <f>IF('Συμβατικά ΦΣ'!B22&lt;&gt;"",'Συμβατικά ΦΣ'!B22,"")</f>
        <v/>
      </c>
      <c r="C23" s="43" t="str">
        <f>IF(B23&lt;&gt;"",'Συμβατικά ΦΣ'!G22 &amp; " -" &amp; 'Συμβατικά ΦΣ'!I22 &amp; "W","")</f>
        <v/>
      </c>
      <c r="D23" s="258"/>
      <c r="E23" s="258"/>
      <c r="F23" s="258"/>
      <c r="G23" s="258"/>
      <c r="H23" s="145"/>
      <c r="I23" s="44" t="str">
        <f>IF(B23&lt;&gt;"",'Συμβατικά ΦΣ'!H22,"")</f>
        <v/>
      </c>
      <c r="J23" s="44" t="str">
        <f>IF(C23&lt;&gt;"",ROUND('Γενικά Δεδομένα'!$I$14*I23,0),"")</f>
        <v/>
      </c>
      <c r="K23" s="193"/>
      <c r="L23" s="193"/>
      <c r="M23" s="15" t="str">
        <f t="shared" si="1"/>
        <v/>
      </c>
      <c r="N23" s="193" t="str">
        <f>IF(D23&lt;&gt;"",SUMIF(fs_led,'Νέα ΦΣ'!D23,Βοήθεια!$E$39:$E$44),"")</f>
        <v/>
      </c>
      <c r="O23" s="146"/>
    </row>
    <row r="24" spans="2:15" ht="30" customHeight="1" x14ac:dyDescent="0.25">
      <c r="B24" s="42" t="str">
        <f>IF('Συμβατικά ΦΣ'!B23&lt;&gt;"",'Συμβατικά ΦΣ'!B23,"")</f>
        <v/>
      </c>
      <c r="C24" s="43" t="str">
        <f>IF(B24&lt;&gt;"",'Συμβατικά ΦΣ'!G23 &amp; " -" &amp; 'Συμβατικά ΦΣ'!I23 &amp; "W","")</f>
        <v/>
      </c>
      <c r="D24" s="258"/>
      <c r="E24" s="258"/>
      <c r="F24" s="258"/>
      <c r="G24" s="258"/>
      <c r="H24" s="145"/>
      <c r="I24" s="44" t="str">
        <f>IF(B24&lt;&gt;"",'Συμβατικά ΦΣ'!H23,"")</f>
        <v/>
      </c>
      <c r="J24" s="44" t="str">
        <f>IF(C24&lt;&gt;"",ROUND('Γενικά Δεδομένα'!$I$14*I24,0),"")</f>
        <v/>
      </c>
      <c r="K24" s="193"/>
      <c r="L24" s="193"/>
      <c r="M24" s="15" t="str">
        <f t="shared" si="1"/>
        <v/>
      </c>
      <c r="N24" s="193" t="str">
        <f>IF(D24&lt;&gt;"",SUMIF(fs_led,'Νέα ΦΣ'!D24,Βοήθεια!$E$39:$E$44),"")</f>
        <v/>
      </c>
      <c r="O24" s="146"/>
    </row>
    <row r="25" spans="2:15" ht="30" customHeight="1" x14ac:dyDescent="0.25">
      <c r="B25" s="42" t="str">
        <f>IF('Συμβατικά ΦΣ'!B24&lt;&gt;"",'Συμβατικά ΦΣ'!B24,"")</f>
        <v/>
      </c>
      <c r="C25" s="43" t="str">
        <f>IF(B25&lt;&gt;"",'Συμβατικά ΦΣ'!G24 &amp; " -" &amp; 'Συμβατικά ΦΣ'!I24 &amp; "W","")</f>
        <v/>
      </c>
      <c r="D25" s="258"/>
      <c r="E25" s="258"/>
      <c r="F25" s="258"/>
      <c r="G25" s="258"/>
      <c r="H25" s="145"/>
      <c r="I25" s="44" t="str">
        <f>IF(B25&lt;&gt;"",'Συμβατικά ΦΣ'!H24,"")</f>
        <v/>
      </c>
      <c r="J25" s="44" t="str">
        <f>IF(C25&lt;&gt;"",ROUND('Γενικά Δεδομένα'!$I$14*I25,0),"")</f>
        <v/>
      </c>
      <c r="K25" s="193"/>
      <c r="L25" s="193"/>
      <c r="M25" s="15" t="str">
        <f t="shared" si="1"/>
        <v/>
      </c>
      <c r="N25" s="193" t="str">
        <f>IF(D25&lt;&gt;"",SUMIF(fs_led,'Νέα ΦΣ'!D25,Βοήθεια!$E$39:$E$44),"")</f>
        <v/>
      </c>
      <c r="O25" s="146"/>
    </row>
    <row r="26" spans="2:15" ht="30" customHeight="1" x14ac:dyDescent="0.25">
      <c r="B26" s="42" t="str">
        <f>IF('Συμβατικά ΦΣ'!B25&lt;&gt;"",'Συμβατικά ΦΣ'!B25,"")</f>
        <v/>
      </c>
      <c r="C26" s="43" t="str">
        <f>IF(B26&lt;&gt;"",'Συμβατικά ΦΣ'!G25 &amp; " -" &amp; 'Συμβατικά ΦΣ'!I25 &amp; "W","")</f>
        <v/>
      </c>
      <c r="D26" s="258"/>
      <c r="E26" s="258"/>
      <c r="F26" s="258"/>
      <c r="G26" s="258"/>
      <c r="H26" s="145"/>
      <c r="I26" s="44" t="str">
        <f>IF(B26&lt;&gt;"",'Συμβατικά ΦΣ'!H25,"")</f>
        <v/>
      </c>
      <c r="J26" s="44" t="str">
        <f>IF(C26&lt;&gt;"",ROUND('Γενικά Δεδομένα'!$I$14*I26,0),"")</f>
        <v/>
      </c>
      <c r="K26" s="193"/>
      <c r="L26" s="193"/>
      <c r="M26" s="15" t="str">
        <f t="shared" si="1"/>
        <v/>
      </c>
      <c r="N26" s="193" t="str">
        <f>IF(D26&lt;&gt;"",SUMIF(fs_led,'Νέα ΦΣ'!D26,Βοήθεια!$E$39:$E$44),"")</f>
        <v/>
      </c>
      <c r="O26" s="146"/>
    </row>
    <row r="27" spans="2:15" ht="30" customHeight="1" x14ac:dyDescent="0.25">
      <c r="B27" s="42" t="str">
        <f>IF('Συμβατικά ΦΣ'!B26&lt;&gt;"",'Συμβατικά ΦΣ'!B26,"")</f>
        <v/>
      </c>
      <c r="C27" s="43" t="str">
        <f>IF(B27&lt;&gt;"",'Συμβατικά ΦΣ'!G26 &amp; " -" &amp; 'Συμβατικά ΦΣ'!I26 &amp; "W","")</f>
        <v/>
      </c>
      <c r="D27" s="258"/>
      <c r="E27" s="258"/>
      <c r="F27" s="258"/>
      <c r="G27" s="258"/>
      <c r="H27" s="145"/>
      <c r="I27" s="44" t="str">
        <f>IF(B27&lt;&gt;"",'Συμβατικά ΦΣ'!H26,"")</f>
        <v/>
      </c>
      <c r="J27" s="44" t="str">
        <f>IF(C27&lt;&gt;"",ROUND('Γενικά Δεδομένα'!$I$14*I27,0),"")</f>
        <v/>
      </c>
      <c r="K27" s="193"/>
      <c r="L27" s="193"/>
      <c r="M27" s="15" t="str">
        <f t="shared" si="1"/>
        <v/>
      </c>
      <c r="N27" s="193" t="str">
        <f>IF(D27&lt;&gt;"",SUMIF(fs_led,'Νέα ΦΣ'!D27,Βοήθεια!$E$39:$E$44),"")</f>
        <v/>
      </c>
      <c r="O27" s="146"/>
    </row>
    <row r="28" spans="2:15" ht="30" customHeight="1" x14ac:dyDescent="0.25">
      <c r="B28" s="42" t="str">
        <f>IF('Συμβατικά ΦΣ'!B27&lt;&gt;"",'Συμβατικά ΦΣ'!B27,"")</f>
        <v/>
      </c>
      <c r="C28" s="43" t="str">
        <f>IF(B28&lt;&gt;"",'Συμβατικά ΦΣ'!G27 &amp; " -" &amp; 'Συμβατικά ΦΣ'!I27 &amp; "W","")</f>
        <v/>
      </c>
      <c r="D28" s="258"/>
      <c r="E28" s="258"/>
      <c r="F28" s="258"/>
      <c r="G28" s="258"/>
      <c r="H28" s="145"/>
      <c r="I28" s="44" t="str">
        <f>IF(B28&lt;&gt;"",'Συμβατικά ΦΣ'!H27,"")</f>
        <v/>
      </c>
      <c r="J28" s="44" t="str">
        <f>IF(C28&lt;&gt;"",ROUND('Γενικά Δεδομένα'!$I$14*I28,0),"")</f>
        <v/>
      </c>
      <c r="K28" s="193"/>
      <c r="L28" s="193"/>
      <c r="M28" s="15" t="str">
        <f t="shared" si="1"/>
        <v/>
      </c>
      <c r="N28" s="193" t="str">
        <f>IF(D28&lt;&gt;"",SUMIF(fs_led,'Νέα ΦΣ'!D28,Βοήθεια!$E$39:$E$44),"")</f>
        <v/>
      </c>
      <c r="O28" s="146"/>
    </row>
    <row r="29" spans="2:15" ht="30" customHeight="1" x14ac:dyDescent="0.25">
      <c r="B29" s="42" t="str">
        <f>IF('Συμβατικά ΦΣ'!B28&lt;&gt;"",'Συμβατικά ΦΣ'!B28,"")</f>
        <v/>
      </c>
      <c r="C29" s="43" t="str">
        <f>IF(B29&lt;&gt;"",'Συμβατικά ΦΣ'!G28 &amp; " -" &amp; 'Συμβατικά ΦΣ'!I28 &amp; "W","")</f>
        <v/>
      </c>
      <c r="D29" s="258"/>
      <c r="E29" s="258"/>
      <c r="F29" s="258"/>
      <c r="G29" s="258"/>
      <c r="H29" s="145"/>
      <c r="I29" s="44" t="str">
        <f>IF(B29&lt;&gt;"",'Συμβατικά ΦΣ'!H28,"")</f>
        <v/>
      </c>
      <c r="J29" s="44" t="str">
        <f>IF(C29&lt;&gt;"",ROUND('Γενικά Δεδομένα'!$I$14*I29,0),"")</f>
        <v/>
      </c>
      <c r="K29" s="193"/>
      <c r="L29" s="193"/>
      <c r="M29" s="15" t="str">
        <f t="shared" si="1"/>
        <v/>
      </c>
      <c r="N29" s="193" t="str">
        <f>IF(D29&lt;&gt;"",SUMIF(fs_led,'Νέα ΦΣ'!D29,Βοήθεια!$E$39:$E$44),"")</f>
        <v/>
      </c>
      <c r="O29" s="146"/>
    </row>
    <row r="30" spans="2:15" ht="30" customHeight="1" x14ac:dyDescent="0.25">
      <c r="B30" s="42" t="str">
        <f>IF('Συμβατικά ΦΣ'!B29&lt;&gt;"",'Συμβατικά ΦΣ'!B29,"")</f>
        <v/>
      </c>
      <c r="C30" s="43" t="str">
        <f>IF(B30&lt;&gt;"",'Συμβατικά ΦΣ'!G29 &amp; " -" &amp; 'Συμβατικά ΦΣ'!I29 &amp; "W","")</f>
        <v/>
      </c>
      <c r="D30" s="258"/>
      <c r="E30" s="258"/>
      <c r="F30" s="258"/>
      <c r="G30" s="258"/>
      <c r="H30" s="145"/>
      <c r="I30" s="44" t="str">
        <f>IF(B30&lt;&gt;"",'Συμβατικά ΦΣ'!H29,"")</f>
        <v/>
      </c>
      <c r="J30" s="44" t="str">
        <f>IF(C30&lt;&gt;"",ROUND('Γενικά Δεδομένα'!$I$14*I30,0),"")</f>
        <v/>
      </c>
      <c r="K30" s="193"/>
      <c r="L30" s="193"/>
      <c r="M30" s="15" t="str">
        <f t="shared" si="1"/>
        <v/>
      </c>
      <c r="N30" s="193" t="str">
        <f>IF(D30&lt;&gt;"",SUMIF(fs_led,'Νέα ΦΣ'!D30,Βοήθεια!$E$39:$E$44),"")</f>
        <v/>
      </c>
      <c r="O30" s="146"/>
    </row>
    <row r="31" spans="2:15" ht="30" customHeight="1" x14ac:dyDescent="0.25">
      <c r="B31" s="42" t="str">
        <f>IF('Συμβατικά ΦΣ'!B30&lt;&gt;"",'Συμβατικά ΦΣ'!B30,"")</f>
        <v/>
      </c>
      <c r="C31" s="43" t="str">
        <f>IF(B31&lt;&gt;"",'Συμβατικά ΦΣ'!G30 &amp; " -" &amp; 'Συμβατικά ΦΣ'!I30 &amp; "W","")</f>
        <v/>
      </c>
      <c r="D31" s="258"/>
      <c r="E31" s="258"/>
      <c r="F31" s="258"/>
      <c r="G31" s="258"/>
      <c r="H31" s="145"/>
      <c r="I31" s="44" t="str">
        <f>IF(B31&lt;&gt;"",'Συμβατικά ΦΣ'!H30,"")</f>
        <v/>
      </c>
      <c r="J31" s="44" t="str">
        <f>IF(C31&lt;&gt;"",ROUND('Γενικά Δεδομένα'!$I$14*I31,0),"")</f>
        <v/>
      </c>
      <c r="K31" s="193"/>
      <c r="L31" s="193"/>
      <c r="M31" s="15" t="str">
        <f t="shared" si="1"/>
        <v/>
      </c>
      <c r="N31" s="193" t="str">
        <f>IF(D31&lt;&gt;"",SUMIF(fs_led,'Νέα ΦΣ'!D31,Βοήθεια!$E$39:$E$44),"")</f>
        <v/>
      </c>
      <c r="O31" s="146"/>
    </row>
    <row r="32" spans="2:15" ht="30" customHeight="1" x14ac:dyDescent="0.25">
      <c r="B32" s="42" t="str">
        <f>IF('Συμβατικά ΦΣ'!B31&lt;&gt;"",'Συμβατικά ΦΣ'!B31,"")</f>
        <v/>
      </c>
      <c r="C32" s="43" t="str">
        <f>IF(B32&lt;&gt;"",'Συμβατικά ΦΣ'!G31 &amp; " -" &amp; 'Συμβατικά ΦΣ'!I31 &amp; "W","")</f>
        <v/>
      </c>
      <c r="D32" s="258"/>
      <c r="E32" s="258"/>
      <c r="F32" s="258"/>
      <c r="G32" s="258"/>
      <c r="H32" s="145"/>
      <c r="I32" s="44" t="str">
        <f>IF(B32&lt;&gt;"",'Συμβατικά ΦΣ'!H31,"")</f>
        <v/>
      </c>
      <c r="J32" s="44" t="str">
        <f>IF(C32&lt;&gt;"",ROUND('Γενικά Δεδομένα'!$I$14*I32,0),"")</f>
        <v/>
      </c>
      <c r="K32" s="193"/>
      <c r="L32" s="193"/>
      <c r="M32" s="15" t="str">
        <f t="shared" si="1"/>
        <v/>
      </c>
      <c r="N32" s="193" t="str">
        <f>IF(D32&lt;&gt;"",SUMIF(fs_led,'Νέα ΦΣ'!D32,Βοήθεια!$E$39:$E$44),"")</f>
        <v/>
      </c>
      <c r="O32" s="146"/>
    </row>
    <row r="33" spans="2:15" ht="30" customHeight="1" x14ac:dyDescent="0.25">
      <c r="B33" s="42" t="str">
        <f>IF('Συμβατικά ΦΣ'!B32&lt;&gt;"",'Συμβατικά ΦΣ'!B32,"")</f>
        <v/>
      </c>
      <c r="C33" s="43" t="str">
        <f>IF(B33&lt;&gt;"",'Συμβατικά ΦΣ'!G32 &amp; " -" &amp; 'Συμβατικά ΦΣ'!I32 &amp; "W","")</f>
        <v/>
      </c>
      <c r="D33" s="258"/>
      <c r="E33" s="258"/>
      <c r="F33" s="258"/>
      <c r="G33" s="258"/>
      <c r="H33" s="145"/>
      <c r="I33" s="44" t="str">
        <f>IF(B33&lt;&gt;"",'Συμβατικά ΦΣ'!H32,"")</f>
        <v/>
      </c>
      <c r="J33" s="44" t="str">
        <f>IF(C33&lt;&gt;"",ROUND('Γενικά Δεδομένα'!$I$14*I33,0),"")</f>
        <v/>
      </c>
      <c r="K33" s="193"/>
      <c r="L33" s="193"/>
      <c r="M33" s="15" t="str">
        <f t="shared" si="1"/>
        <v/>
      </c>
      <c r="N33" s="193" t="str">
        <f>IF(D33&lt;&gt;"",SUMIF(fs_led,'Νέα ΦΣ'!D33,Βοήθεια!$E$39:$E$44),"")</f>
        <v/>
      </c>
      <c r="O33" s="146"/>
    </row>
    <row r="34" spans="2:15" ht="30" customHeight="1" x14ac:dyDescent="0.25">
      <c r="B34" s="42" t="str">
        <f>IF('Συμβατικά ΦΣ'!B33&lt;&gt;"",'Συμβατικά ΦΣ'!B33,"")</f>
        <v/>
      </c>
      <c r="C34" s="43" t="str">
        <f>IF(B34&lt;&gt;"",'Συμβατικά ΦΣ'!G33 &amp; " -" &amp; 'Συμβατικά ΦΣ'!I33 &amp; "W","")</f>
        <v/>
      </c>
      <c r="D34" s="258"/>
      <c r="E34" s="258"/>
      <c r="F34" s="258"/>
      <c r="G34" s="258"/>
      <c r="H34" s="145"/>
      <c r="I34" s="44" t="str">
        <f>IF(B34&lt;&gt;"",'Συμβατικά ΦΣ'!H33,"")</f>
        <v/>
      </c>
      <c r="J34" s="44" t="str">
        <f>IF(C34&lt;&gt;"",ROUND('Γενικά Δεδομένα'!$I$14*I34,0),"")</f>
        <v/>
      </c>
      <c r="K34" s="193"/>
      <c r="L34" s="193"/>
      <c r="M34" s="15" t="str">
        <f t="shared" si="1"/>
        <v/>
      </c>
      <c r="N34" s="193" t="str">
        <f>IF(D34&lt;&gt;"",SUMIF(fs_led,'Νέα ΦΣ'!D34,Βοήθεια!$E$39:$E$44),"")</f>
        <v/>
      </c>
      <c r="O34" s="146"/>
    </row>
    <row r="35" spans="2:15" ht="30" customHeight="1" x14ac:dyDescent="0.25">
      <c r="B35" s="42" t="str">
        <f>IF('Συμβατικά ΦΣ'!B34&lt;&gt;"",'Συμβατικά ΦΣ'!B34,"")</f>
        <v/>
      </c>
      <c r="C35" s="43" t="str">
        <f>IF(B35&lt;&gt;"",'Συμβατικά ΦΣ'!G34 &amp; " -" &amp; 'Συμβατικά ΦΣ'!I34 &amp; "W","")</f>
        <v/>
      </c>
      <c r="D35" s="258"/>
      <c r="E35" s="258"/>
      <c r="F35" s="258"/>
      <c r="G35" s="258"/>
      <c r="H35" s="145"/>
      <c r="I35" s="44" t="str">
        <f>IF(B35&lt;&gt;"",'Συμβατικά ΦΣ'!H34,"")</f>
        <v/>
      </c>
      <c r="J35" s="44" t="str">
        <f>IF(C35&lt;&gt;"",ROUND('Γενικά Δεδομένα'!$I$14*I35,0),"")</f>
        <v/>
      </c>
      <c r="K35" s="193"/>
      <c r="L35" s="193"/>
      <c r="M35" s="15" t="str">
        <f t="shared" si="1"/>
        <v/>
      </c>
      <c r="N35" s="193" t="str">
        <f>IF(D35&lt;&gt;"",SUMIF(fs_led,'Νέα ΦΣ'!D35,Βοήθεια!$E$39:$E$44),"")</f>
        <v/>
      </c>
      <c r="O35" s="146"/>
    </row>
    <row r="36" spans="2:15" ht="30" customHeight="1" x14ac:dyDescent="0.25">
      <c r="B36" s="42" t="str">
        <f>IF('Συμβατικά ΦΣ'!B35&lt;&gt;"",'Συμβατικά ΦΣ'!B35,"")</f>
        <v/>
      </c>
      <c r="C36" s="43" t="str">
        <f>IF(B36&lt;&gt;"",'Συμβατικά ΦΣ'!G35 &amp; " -" &amp; 'Συμβατικά ΦΣ'!I35 &amp; "W","")</f>
        <v/>
      </c>
      <c r="D36" s="258"/>
      <c r="E36" s="258"/>
      <c r="F36" s="258"/>
      <c r="G36" s="258"/>
      <c r="H36" s="145"/>
      <c r="I36" s="44" t="str">
        <f>IF(B36&lt;&gt;"",'Συμβατικά ΦΣ'!H35,"")</f>
        <v/>
      </c>
      <c r="J36" s="44" t="str">
        <f>IF(C36&lt;&gt;"",ROUND('Γενικά Δεδομένα'!$I$14*I36,0),"")</f>
        <v/>
      </c>
      <c r="K36" s="193"/>
      <c r="L36" s="193"/>
      <c r="M36" s="15" t="str">
        <f t="shared" si="1"/>
        <v/>
      </c>
      <c r="N36" s="193" t="str">
        <f>IF(D36&lt;&gt;"",SUMIF(fs_led,'Νέα ΦΣ'!D36,Βοήθεια!$E$39:$E$44),"")</f>
        <v/>
      </c>
      <c r="O36" s="146"/>
    </row>
    <row r="37" spans="2:15" ht="30" customHeight="1" x14ac:dyDescent="0.25">
      <c r="B37" s="42" t="str">
        <f>IF('Συμβατικά ΦΣ'!B36&lt;&gt;"",'Συμβατικά ΦΣ'!B36,"")</f>
        <v/>
      </c>
      <c r="C37" s="43" t="str">
        <f>IF(B37&lt;&gt;"",'Συμβατικά ΦΣ'!G36 &amp; " -" &amp; 'Συμβατικά ΦΣ'!I36 &amp; "W","")</f>
        <v/>
      </c>
      <c r="D37" s="258"/>
      <c r="E37" s="258"/>
      <c r="F37" s="258"/>
      <c r="G37" s="258"/>
      <c r="H37" s="145"/>
      <c r="I37" s="44" t="str">
        <f>IF(B37&lt;&gt;"",'Συμβατικά ΦΣ'!H36,"")</f>
        <v/>
      </c>
      <c r="J37" s="44" t="str">
        <f>IF(C37&lt;&gt;"",ROUND('Γενικά Δεδομένα'!$I$14*I37,0),"")</f>
        <v/>
      </c>
      <c r="K37" s="193"/>
      <c r="L37" s="193"/>
      <c r="M37" s="15" t="str">
        <f t="shared" si="1"/>
        <v/>
      </c>
      <c r="N37" s="193" t="str">
        <f>IF(D37&lt;&gt;"",SUMIF(fs_led,'Νέα ΦΣ'!D37,Βοήθεια!$E$39:$E$44),"")</f>
        <v/>
      </c>
      <c r="O37" s="146"/>
    </row>
    <row r="38" spans="2:15" ht="30" customHeight="1" x14ac:dyDescent="0.25">
      <c r="B38" s="42" t="str">
        <f>IF('Συμβατικά ΦΣ'!B37&lt;&gt;"",'Συμβατικά ΦΣ'!B37,"")</f>
        <v/>
      </c>
      <c r="C38" s="43" t="str">
        <f>IF(B38&lt;&gt;"",'Συμβατικά ΦΣ'!G37 &amp; " -" &amp; 'Συμβατικά ΦΣ'!I37 &amp; "W","")</f>
        <v/>
      </c>
      <c r="D38" s="258"/>
      <c r="E38" s="258"/>
      <c r="F38" s="258"/>
      <c r="G38" s="258"/>
      <c r="H38" s="145"/>
      <c r="I38" s="44" t="str">
        <f>IF(B38&lt;&gt;"",'Συμβατικά ΦΣ'!H37,"")</f>
        <v/>
      </c>
      <c r="J38" s="44" t="str">
        <f>IF(C38&lt;&gt;"",ROUND('Γενικά Δεδομένα'!$I$14*I38,0),"")</f>
        <v/>
      </c>
      <c r="K38" s="193"/>
      <c r="L38" s="193"/>
      <c r="M38" s="15" t="str">
        <f t="shared" si="1"/>
        <v/>
      </c>
      <c r="N38" s="193" t="str">
        <f>IF(D38&lt;&gt;"",SUMIF(fs_led,'Νέα ΦΣ'!D38,Βοήθεια!$E$39:$E$44),"")</f>
        <v/>
      </c>
      <c r="O38" s="146"/>
    </row>
    <row r="39" spans="2:15" ht="30" customHeight="1" x14ac:dyDescent="0.25">
      <c r="B39" s="42" t="str">
        <f>IF('Συμβατικά ΦΣ'!B38&lt;&gt;"",'Συμβατικά ΦΣ'!B38,"")</f>
        <v/>
      </c>
      <c r="C39" s="43" t="str">
        <f>IF(B39&lt;&gt;"",'Συμβατικά ΦΣ'!G38 &amp; " -" &amp; 'Συμβατικά ΦΣ'!I38 &amp; "W","")</f>
        <v/>
      </c>
      <c r="D39" s="258"/>
      <c r="E39" s="258"/>
      <c r="F39" s="258"/>
      <c r="G39" s="258"/>
      <c r="H39" s="145"/>
      <c r="I39" s="44" t="str">
        <f>IF(B39&lt;&gt;"",'Συμβατικά ΦΣ'!H38,"")</f>
        <v/>
      </c>
      <c r="J39" s="44" t="str">
        <f>IF(C39&lt;&gt;"",ROUND('Γενικά Δεδομένα'!$I$14*I39,0),"")</f>
        <v/>
      </c>
      <c r="K39" s="193"/>
      <c r="L39" s="193"/>
      <c r="M39" s="15" t="str">
        <f t="shared" si="1"/>
        <v/>
      </c>
      <c r="N39" s="193" t="str">
        <f>IF(D39&lt;&gt;"",SUMIF(fs_led,'Νέα ΦΣ'!D39,Βοήθεια!$E$39:$E$44),"")</f>
        <v/>
      </c>
      <c r="O39" s="146"/>
    </row>
    <row r="40" spans="2:15" ht="30" customHeight="1" x14ac:dyDescent="0.25">
      <c r="B40" s="42" t="str">
        <f>IF('Συμβατικά ΦΣ'!B39&lt;&gt;"",'Συμβατικά ΦΣ'!B39,"")</f>
        <v/>
      </c>
      <c r="C40" s="43" t="str">
        <f>IF(B40&lt;&gt;"",'Συμβατικά ΦΣ'!G39 &amp; " -" &amp; 'Συμβατικά ΦΣ'!I39 &amp; "W","")</f>
        <v/>
      </c>
      <c r="D40" s="258"/>
      <c r="E40" s="258"/>
      <c r="F40" s="258"/>
      <c r="G40" s="258"/>
      <c r="H40" s="145"/>
      <c r="I40" s="44" t="str">
        <f>IF(B40&lt;&gt;"",'Συμβατικά ΦΣ'!H39,"")</f>
        <v/>
      </c>
      <c r="J40" s="44" t="str">
        <f>IF(C40&lt;&gt;"",ROUND('Γενικά Δεδομένα'!$I$14*I40,0),"")</f>
        <v/>
      </c>
      <c r="K40" s="193"/>
      <c r="L40" s="193"/>
      <c r="M40" s="15" t="str">
        <f t="shared" si="1"/>
        <v/>
      </c>
      <c r="N40" s="193" t="str">
        <f>IF(D40&lt;&gt;"",SUMIF(fs_led,'Νέα ΦΣ'!D40,Βοήθεια!$E$39:$E$44),"")</f>
        <v/>
      </c>
      <c r="O40" s="146"/>
    </row>
    <row r="41" spans="2:15" ht="30" customHeight="1" x14ac:dyDescent="0.25">
      <c r="B41" s="42" t="str">
        <f>IF('Συμβατικά ΦΣ'!B40&lt;&gt;"",'Συμβατικά ΦΣ'!B40,"")</f>
        <v/>
      </c>
      <c r="C41" s="43" t="str">
        <f>IF(B41&lt;&gt;"",'Συμβατικά ΦΣ'!G40 &amp; " -" &amp; 'Συμβατικά ΦΣ'!I40 &amp; "W","")</f>
        <v/>
      </c>
      <c r="D41" s="258"/>
      <c r="E41" s="258"/>
      <c r="F41" s="258"/>
      <c r="G41" s="258"/>
      <c r="H41" s="145"/>
      <c r="I41" s="44" t="str">
        <f>IF(B41&lt;&gt;"",'Συμβατικά ΦΣ'!H40,"")</f>
        <v/>
      </c>
      <c r="J41" s="44" t="str">
        <f>IF(C41&lt;&gt;"",ROUND('Γενικά Δεδομένα'!$I$14*I41,0),"")</f>
        <v/>
      </c>
      <c r="K41" s="193"/>
      <c r="L41" s="193"/>
      <c r="M41" s="15" t="str">
        <f t="shared" si="1"/>
        <v/>
      </c>
      <c r="N41" s="193" t="str">
        <f>IF(D41&lt;&gt;"",SUMIF(fs_led,'Νέα ΦΣ'!D41,Βοήθεια!$E$39:$E$44),"")</f>
        <v/>
      </c>
      <c r="O41" s="146"/>
    </row>
    <row r="42" spans="2:15" ht="30" customHeight="1" x14ac:dyDescent="0.25">
      <c r="B42" s="42" t="str">
        <f>IF('Συμβατικά ΦΣ'!B41&lt;&gt;"",'Συμβατικά ΦΣ'!B41,"")</f>
        <v/>
      </c>
      <c r="C42" s="43" t="str">
        <f>IF(B42&lt;&gt;"",'Συμβατικά ΦΣ'!G41 &amp; " -" &amp; 'Συμβατικά ΦΣ'!I41 &amp; "W","")</f>
        <v/>
      </c>
      <c r="D42" s="258"/>
      <c r="E42" s="258"/>
      <c r="F42" s="258"/>
      <c r="G42" s="258"/>
      <c r="H42" s="145"/>
      <c r="I42" s="44" t="str">
        <f>IF(B42&lt;&gt;"",'Συμβατικά ΦΣ'!H41,"")</f>
        <v/>
      </c>
      <c r="J42" s="44" t="str">
        <f>IF(C42&lt;&gt;"",ROUND('Γενικά Δεδομένα'!$I$14*I42,0),"")</f>
        <v/>
      </c>
      <c r="K42" s="193"/>
      <c r="L42" s="193"/>
      <c r="M42" s="15" t="str">
        <f t="shared" si="1"/>
        <v/>
      </c>
      <c r="N42" s="193" t="str">
        <f>IF(D42&lt;&gt;"",SUMIF(fs_led,'Νέα ΦΣ'!D42,Βοήθεια!$E$39:$E$44),"")</f>
        <v/>
      </c>
      <c r="O42" s="146"/>
    </row>
    <row r="43" spans="2:15" ht="30" customHeight="1" x14ac:dyDescent="0.25">
      <c r="B43" s="42" t="str">
        <f>IF('Συμβατικά ΦΣ'!B42&lt;&gt;"",'Συμβατικά ΦΣ'!B42,"")</f>
        <v/>
      </c>
      <c r="C43" s="43" t="str">
        <f>IF(B43&lt;&gt;"",'Συμβατικά ΦΣ'!G42 &amp; " -" &amp; 'Συμβατικά ΦΣ'!I42 &amp; "W","")</f>
        <v/>
      </c>
      <c r="D43" s="258"/>
      <c r="E43" s="258"/>
      <c r="F43" s="258"/>
      <c r="G43" s="258"/>
      <c r="H43" s="145"/>
      <c r="I43" s="44" t="str">
        <f>IF(B43&lt;&gt;"",'Συμβατικά ΦΣ'!H42,"")</f>
        <v/>
      </c>
      <c r="J43" s="44" t="str">
        <f>IF(C43&lt;&gt;"",ROUND('Γενικά Δεδομένα'!$I$14*I43,0),"")</f>
        <v/>
      </c>
      <c r="K43" s="193"/>
      <c r="L43" s="193"/>
      <c r="M43" s="15" t="str">
        <f t="shared" si="1"/>
        <v/>
      </c>
      <c r="N43" s="193" t="str">
        <f>IF(D43&lt;&gt;"",SUMIF(fs_led,'Νέα ΦΣ'!D43,Βοήθεια!$E$39:$E$44),"")</f>
        <v/>
      </c>
      <c r="O43" s="146"/>
    </row>
    <row r="44" spans="2:15" ht="30" customHeight="1" x14ac:dyDescent="0.25">
      <c r="B44" s="42" t="str">
        <f>IF('Συμβατικά ΦΣ'!B43&lt;&gt;"",'Συμβατικά ΦΣ'!B43,"")</f>
        <v/>
      </c>
      <c r="C44" s="43" t="str">
        <f>IF(B44&lt;&gt;"",'Συμβατικά ΦΣ'!G43 &amp; " -" &amp; 'Συμβατικά ΦΣ'!I43 &amp; "W","")</f>
        <v/>
      </c>
      <c r="D44" s="258"/>
      <c r="E44" s="258"/>
      <c r="F44" s="258"/>
      <c r="G44" s="258"/>
      <c r="H44" s="145"/>
      <c r="I44" s="44" t="str">
        <f>IF(B44&lt;&gt;"",'Συμβατικά ΦΣ'!H43,"")</f>
        <v/>
      </c>
      <c r="J44" s="44" t="str">
        <f>IF(C44&lt;&gt;"",ROUND('Γενικά Δεδομένα'!$I$14*I44,0),"")</f>
        <v/>
      </c>
      <c r="K44" s="193"/>
      <c r="L44" s="193"/>
      <c r="M44" s="15" t="str">
        <f t="shared" si="1"/>
        <v/>
      </c>
      <c r="N44" s="193" t="str">
        <f>IF(D44&lt;&gt;"",SUMIF(fs_led,'Νέα ΦΣ'!D44,Βοήθεια!$E$39:$E$44),"")</f>
        <v/>
      </c>
      <c r="O44" s="146"/>
    </row>
    <row r="45" spans="2:15" ht="30" customHeight="1" x14ac:dyDescent="0.25">
      <c r="B45" s="42" t="str">
        <f>IF('Συμβατικά ΦΣ'!B44&lt;&gt;"",'Συμβατικά ΦΣ'!B44,"")</f>
        <v/>
      </c>
      <c r="C45" s="43" t="str">
        <f>IF(B45&lt;&gt;"",'Συμβατικά ΦΣ'!G44 &amp; " -" &amp; 'Συμβατικά ΦΣ'!I44 &amp; "W","")</f>
        <v/>
      </c>
      <c r="D45" s="258"/>
      <c r="E45" s="258"/>
      <c r="F45" s="258"/>
      <c r="G45" s="258"/>
      <c r="H45" s="145"/>
      <c r="I45" s="44" t="str">
        <f>IF(B45&lt;&gt;"",'Συμβατικά ΦΣ'!H44,"")</f>
        <v/>
      </c>
      <c r="J45" s="44" t="str">
        <f>IF(C45&lt;&gt;"",ROUND('Γενικά Δεδομένα'!$I$14*I45,0),"")</f>
        <v/>
      </c>
      <c r="K45" s="193"/>
      <c r="L45" s="193"/>
      <c r="M45" s="15" t="str">
        <f t="shared" si="1"/>
        <v/>
      </c>
      <c r="N45" s="193" t="str">
        <f>IF(D45&lt;&gt;"",SUMIF(fs_led,'Νέα ΦΣ'!D45,Βοήθεια!$E$39:$E$44),"")</f>
        <v/>
      </c>
      <c r="O45" s="146"/>
    </row>
    <row r="46" spans="2:15" ht="30" customHeight="1" x14ac:dyDescent="0.25">
      <c r="B46" s="42" t="str">
        <f>IF('Συμβατικά ΦΣ'!B45&lt;&gt;"",'Συμβατικά ΦΣ'!B45,"")</f>
        <v/>
      </c>
      <c r="C46" s="43" t="str">
        <f>IF(B46&lt;&gt;"",'Συμβατικά ΦΣ'!G45 &amp; " -" &amp; 'Συμβατικά ΦΣ'!I45 &amp; "W","")</f>
        <v/>
      </c>
      <c r="D46" s="258"/>
      <c r="E46" s="258"/>
      <c r="F46" s="258"/>
      <c r="G46" s="258"/>
      <c r="H46" s="145"/>
      <c r="I46" s="44" t="str">
        <f>IF(B46&lt;&gt;"",'Συμβατικά ΦΣ'!H45,"")</f>
        <v/>
      </c>
      <c r="J46" s="44" t="str">
        <f>IF(C46&lt;&gt;"",ROUND('Γενικά Δεδομένα'!$I$14*I46,0),"")</f>
        <v/>
      </c>
      <c r="K46" s="193"/>
      <c r="L46" s="193"/>
      <c r="M46" s="15" t="str">
        <f t="shared" si="1"/>
        <v/>
      </c>
      <c r="N46" s="193" t="str">
        <f>IF(D46&lt;&gt;"",SUMIF(fs_led,'Νέα ΦΣ'!D46,Βοήθεια!$E$39:$E$44),"")</f>
        <v/>
      </c>
      <c r="O46" s="146"/>
    </row>
    <row r="47" spans="2:15" ht="30" customHeight="1" x14ac:dyDescent="0.25">
      <c r="B47" s="42" t="str">
        <f>IF('Συμβατικά ΦΣ'!B46&lt;&gt;"",'Συμβατικά ΦΣ'!B46,"")</f>
        <v/>
      </c>
      <c r="C47" s="43" t="str">
        <f>IF(B47&lt;&gt;"",'Συμβατικά ΦΣ'!G46 &amp; " -" &amp; 'Συμβατικά ΦΣ'!I46 &amp; "W","")</f>
        <v/>
      </c>
      <c r="D47" s="258"/>
      <c r="E47" s="258"/>
      <c r="F47" s="258"/>
      <c r="G47" s="258"/>
      <c r="H47" s="145"/>
      <c r="I47" s="44" t="str">
        <f>IF(B47&lt;&gt;"",'Συμβατικά ΦΣ'!H46,"")</f>
        <v/>
      </c>
      <c r="J47" s="44" t="str">
        <f>IF(C47&lt;&gt;"",ROUND('Γενικά Δεδομένα'!$I$14*I47,0),"")</f>
        <v/>
      </c>
      <c r="K47" s="193"/>
      <c r="L47" s="193"/>
      <c r="M47" s="15" t="str">
        <f t="shared" si="1"/>
        <v/>
      </c>
      <c r="N47" s="193" t="str">
        <f>IF(D47&lt;&gt;"",SUMIF(fs_led,'Νέα ΦΣ'!D47,Βοήθεια!$E$39:$E$44),"")</f>
        <v/>
      </c>
      <c r="O47" s="146"/>
    </row>
    <row r="48" spans="2:15" ht="30" customHeight="1" x14ac:dyDescent="0.25">
      <c r="B48" s="42" t="str">
        <f>IF('Συμβατικά ΦΣ'!B47&lt;&gt;"",'Συμβατικά ΦΣ'!B47,"")</f>
        <v/>
      </c>
      <c r="C48" s="43" t="str">
        <f>IF(B48&lt;&gt;"",'Συμβατικά ΦΣ'!G47 &amp; " -" &amp; 'Συμβατικά ΦΣ'!I47 &amp; "W","")</f>
        <v/>
      </c>
      <c r="D48" s="258"/>
      <c r="E48" s="258"/>
      <c r="F48" s="258"/>
      <c r="G48" s="258"/>
      <c r="H48" s="145"/>
      <c r="I48" s="44" t="str">
        <f>IF(B48&lt;&gt;"",'Συμβατικά ΦΣ'!H47,"")</f>
        <v/>
      </c>
      <c r="J48" s="44" t="str">
        <f>IF(C48&lt;&gt;"",ROUND('Γενικά Δεδομένα'!$I$14*I48,0),"")</f>
        <v/>
      </c>
      <c r="K48" s="193"/>
      <c r="L48" s="193"/>
      <c r="M48" s="15" t="str">
        <f t="shared" si="1"/>
        <v/>
      </c>
      <c r="N48" s="193" t="str">
        <f>IF(D48&lt;&gt;"",SUMIF(fs_led,'Νέα ΦΣ'!D48,Βοήθεια!$E$39:$E$44),"")</f>
        <v/>
      </c>
      <c r="O48" s="146"/>
    </row>
    <row r="49" spans="2:15" ht="30" customHeight="1" x14ac:dyDescent="0.25">
      <c r="B49" s="42" t="str">
        <f>IF('Συμβατικά ΦΣ'!B48&lt;&gt;"",'Συμβατικά ΦΣ'!B48,"")</f>
        <v/>
      </c>
      <c r="C49" s="43" t="str">
        <f>IF(B49&lt;&gt;"",'Συμβατικά ΦΣ'!G48 &amp; " -" &amp; 'Συμβατικά ΦΣ'!I48 &amp; "W","")</f>
        <v/>
      </c>
      <c r="D49" s="258"/>
      <c r="E49" s="258"/>
      <c r="F49" s="258"/>
      <c r="G49" s="258"/>
      <c r="H49" s="145"/>
      <c r="I49" s="44" t="str">
        <f>IF(B49&lt;&gt;"",'Συμβατικά ΦΣ'!H48,"")</f>
        <v/>
      </c>
      <c r="J49" s="44" t="str">
        <f>IF(C49&lt;&gt;"",ROUND('Γενικά Δεδομένα'!$I$14*I49,0),"")</f>
        <v/>
      </c>
      <c r="K49" s="193"/>
      <c r="L49" s="193"/>
      <c r="M49" s="15" t="str">
        <f t="shared" si="1"/>
        <v/>
      </c>
      <c r="N49" s="193" t="str">
        <f>IF(D49&lt;&gt;"",SUMIF(fs_led,'Νέα ΦΣ'!D49,Βοήθεια!$E$39:$E$44),"")</f>
        <v/>
      </c>
      <c r="O49" s="146"/>
    </row>
    <row r="50" spans="2:15" ht="30" customHeight="1" x14ac:dyDescent="0.25">
      <c r="B50" s="42" t="str">
        <f>IF('Συμβατικά ΦΣ'!B49&lt;&gt;"",'Συμβατικά ΦΣ'!B49,"")</f>
        <v/>
      </c>
      <c r="C50" s="43" t="str">
        <f>IF(B50&lt;&gt;"",'Συμβατικά ΦΣ'!G49 &amp; " -" &amp; 'Συμβατικά ΦΣ'!I49 &amp; "W","")</f>
        <v/>
      </c>
      <c r="D50" s="258"/>
      <c r="E50" s="258"/>
      <c r="F50" s="258"/>
      <c r="G50" s="258"/>
      <c r="H50" s="145"/>
      <c r="I50" s="44" t="str">
        <f>IF(B50&lt;&gt;"",'Συμβατικά ΦΣ'!H49,"")</f>
        <v/>
      </c>
      <c r="J50" s="44" t="str">
        <f>IF(C50&lt;&gt;"",ROUND('Γενικά Δεδομένα'!$I$14*I50,0),"")</f>
        <v/>
      </c>
      <c r="K50" s="193"/>
      <c r="L50" s="193"/>
      <c r="M50" s="15" t="str">
        <f t="shared" si="1"/>
        <v/>
      </c>
      <c r="N50" s="193" t="str">
        <f>IF(D50&lt;&gt;"",SUMIF(fs_led,'Νέα ΦΣ'!D50,Βοήθεια!$E$39:$E$44),"")</f>
        <v/>
      </c>
      <c r="O50" s="146"/>
    </row>
    <row r="51" spans="2:15" ht="30" customHeight="1" x14ac:dyDescent="0.25">
      <c r="B51" s="42" t="str">
        <f>IF('Συμβατικά ΦΣ'!B50&lt;&gt;"",'Συμβατικά ΦΣ'!B50,"")</f>
        <v/>
      </c>
      <c r="C51" s="43" t="str">
        <f>IF(B51&lt;&gt;"",'Συμβατικά ΦΣ'!G50 &amp; " -" &amp; 'Συμβατικά ΦΣ'!I50 &amp; "W","")</f>
        <v/>
      </c>
      <c r="D51" s="258"/>
      <c r="E51" s="258"/>
      <c r="F51" s="258"/>
      <c r="G51" s="258"/>
      <c r="H51" s="145"/>
      <c r="I51" s="44" t="str">
        <f>IF(B51&lt;&gt;"",'Συμβατικά ΦΣ'!H50,"")</f>
        <v/>
      </c>
      <c r="J51" s="44" t="str">
        <f>IF(C51&lt;&gt;"",ROUND('Γενικά Δεδομένα'!$I$14*I51,0),"")</f>
        <v/>
      </c>
      <c r="K51" s="193"/>
      <c r="L51" s="193"/>
      <c r="M51" s="15" t="str">
        <f t="shared" si="1"/>
        <v/>
      </c>
      <c r="N51" s="193" t="str">
        <f>IF(D51&lt;&gt;"",SUMIF(fs_led,'Νέα ΦΣ'!D51,Βοήθεια!$E$39:$E$44),"")</f>
        <v/>
      </c>
      <c r="O51" s="146"/>
    </row>
    <row r="52" spans="2:15" ht="30" customHeight="1" x14ac:dyDescent="0.25">
      <c r="B52" s="42" t="str">
        <f>IF('Συμβατικά ΦΣ'!B51&lt;&gt;"",'Συμβατικά ΦΣ'!B51,"")</f>
        <v/>
      </c>
      <c r="C52" s="43" t="str">
        <f>IF(B52&lt;&gt;"",'Συμβατικά ΦΣ'!G51 &amp; " -" &amp; 'Συμβατικά ΦΣ'!I51 &amp; "W","")</f>
        <v/>
      </c>
      <c r="D52" s="258"/>
      <c r="E52" s="258"/>
      <c r="F52" s="258"/>
      <c r="G52" s="258"/>
      <c r="H52" s="145"/>
      <c r="I52" s="44" t="str">
        <f>IF(B52&lt;&gt;"",'Συμβατικά ΦΣ'!H51,"")</f>
        <v/>
      </c>
      <c r="J52" s="44" t="str">
        <f>IF(C52&lt;&gt;"",ROUND('Γενικά Δεδομένα'!$I$14*I52,0),"")</f>
        <v/>
      </c>
      <c r="K52" s="193"/>
      <c r="L52" s="193"/>
      <c r="M52" s="15" t="str">
        <f t="shared" si="1"/>
        <v/>
      </c>
      <c r="N52" s="193" t="str">
        <f>IF(D52&lt;&gt;"",SUMIF(fs_led,'Νέα ΦΣ'!D52,Βοήθεια!$E$39:$E$44),"")</f>
        <v/>
      </c>
      <c r="O52" s="146"/>
    </row>
    <row r="53" spans="2:15" ht="30" customHeight="1" x14ac:dyDescent="0.25">
      <c r="B53" s="42" t="str">
        <f>IF('Συμβατικά ΦΣ'!B52&lt;&gt;"",'Συμβατικά ΦΣ'!B52,"")</f>
        <v/>
      </c>
      <c r="C53" s="43" t="str">
        <f>IF(B53&lt;&gt;"",'Συμβατικά ΦΣ'!G52 &amp; " -" &amp; 'Συμβατικά ΦΣ'!I52 &amp; "W","")</f>
        <v/>
      </c>
      <c r="D53" s="258"/>
      <c r="E53" s="258"/>
      <c r="F53" s="258"/>
      <c r="G53" s="258"/>
      <c r="H53" s="145"/>
      <c r="I53" s="44" t="str">
        <f>IF(B53&lt;&gt;"",'Συμβατικά ΦΣ'!H52,"")</f>
        <v/>
      </c>
      <c r="J53" s="44" t="str">
        <f>IF(C53&lt;&gt;"",ROUND('Γενικά Δεδομένα'!$I$14*I53,0),"")</f>
        <v/>
      </c>
      <c r="K53" s="193"/>
      <c r="L53" s="193"/>
      <c r="M53" s="15" t="str">
        <f t="shared" si="1"/>
        <v/>
      </c>
      <c r="N53" s="193" t="str">
        <f>IF(D53&lt;&gt;"",SUMIF(fs_led,'Νέα ΦΣ'!D53,Βοήθεια!$E$39:$E$44),"")</f>
        <v/>
      </c>
      <c r="O53" s="146"/>
    </row>
    <row r="54" spans="2:15" ht="30" customHeight="1" x14ac:dyDescent="0.25">
      <c r="B54" s="42" t="str">
        <f>IF('Συμβατικά ΦΣ'!B53&lt;&gt;"",'Συμβατικά ΦΣ'!B53,"")</f>
        <v/>
      </c>
      <c r="C54" s="43" t="str">
        <f>IF(B54&lt;&gt;"",'Συμβατικά ΦΣ'!G53 &amp; " -" &amp; 'Συμβατικά ΦΣ'!I53 &amp; "W","")</f>
        <v/>
      </c>
      <c r="D54" s="258"/>
      <c r="E54" s="258"/>
      <c r="F54" s="258"/>
      <c r="G54" s="258"/>
      <c r="H54" s="145"/>
      <c r="I54" s="44" t="str">
        <f>IF(B54&lt;&gt;"",'Συμβατικά ΦΣ'!H53,"")</f>
        <v/>
      </c>
      <c r="J54" s="44" t="str">
        <f>IF(C54&lt;&gt;"",ROUND('Γενικά Δεδομένα'!$I$14*I54,0),"")</f>
        <v/>
      </c>
      <c r="K54" s="193"/>
      <c r="L54" s="193"/>
      <c r="M54" s="15" t="str">
        <f t="shared" si="1"/>
        <v/>
      </c>
      <c r="N54" s="193" t="str">
        <f>IF(D54&lt;&gt;"",SUMIF(fs_led,'Νέα ΦΣ'!D54,Βοήθεια!$E$39:$E$44),"")</f>
        <v/>
      </c>
      <c r="O54" s="146"/>
    </row>
    <row r="55" spans="2:15" ht="30" customHeight="1" x14ac:dyDescent="0.25">
      <c r="B55" s="42" t="str">
        <f>IF('Συμβατικά ΦΣ'!B54&lt;&gt;"",'Συμβατικά ΦΣ'!B54,"")</f>
        <v/>
      </c>
      <c r="C55" s="43" t="str">
        <f>IF(B55&lt;&gt;"",'Συμβατικά ΦΣ'!G54 &amp; " -" &amp; 'Συμβατικά ΦΣ'!I54 &amp; "W","")</f>
        <v/>
      </c>
      <c r="D55" s="258"/>
      <c r="E55" s="258"/>
      <c r="F55" s="258"/>
      <c r="G55" s="258"/>
      <c r="H55" s="145"/>
      <c r="I55" s="44" t="str">
        <f>IF(B55&lt;&gt;"",'Συμβατικά ΦΣ'!H54,"")</f>
        <v/>
      </c>
      <c r="J55" s="44" t="str">
        <f>IF(C55&lt;&gt;"",ROUND('Γενικά Δεδομένα'!$I$14*I55,0),"")</f>
        <v/>
      </c>
      <c r="K55" s="193"/>
      <c r="L55" s="193"/>
      <c r="M55" s="15" t="str">
        <f t="shared" si="1"/>
        <v/>
      </c>
      <c r="N55" s="193" t="str">
        <f>IF(D55&lt;&gt;"",SUMIF(fs_led,'Νέα ΦΣ'!D55,Βοήθεια!$E$39:$E$44),"")</f>
        <v/>
      </c>
      <c r="O55" s="146"/>
    </row>
    <row r="56" spans="2:15" ht="30" customHeight="1" x14ac:dyDescent="0.25">
      <c r="B56" s="42" t="str">
        <f>IF('Συμβατικά ΦΣ'!B55&lt;&gt;"",'Συμβατικά ΦΣ'!B55,"")</f>
        <v/>
      </c>
      <c r="C56" s="43" t="str">
        <f>IF(B56&lt;&gt;"",'Συμβατικά ΦΣ'!G55 &amp; " -" &amp; 'Συμβατικά ΦΣ'!I55 &amp; "W","")</f>
        <v/>
      </c>
      <c r="D56" s="258"/>
      <c r="E56" s="258"/>
      <c r="F56" s="258"/>
      <c r="G56" s="258"/>
      <c r="H56" s="145"/>
      <c r="I56" s="44" t="str">
        <f>IF(B56&lt;&gt;"",'Συμβατικά ΦΣ'!H55,"")</f>
        <v/>
      </c>
      <c r="J56" s="44" t="str">
        <f>IF(C56&lt;&gt;"",ROUND('Γενικά Δεδομένα'!$I$14*I56,0),"")</f>
        <v/>
      </c>
      <c r="K56" s="193"/>
      <c r="L56" s="193"/>
      <c r="M56" s="15" t="str">
        <f t="shared" si="1"/>
        <v/>
      </c>
      <c r="N56" s="193" t="str">
        <f>IF(D56&lt;&gt;"",SUMIF(fs_led,'Νέα ΦΣ'!D56,Βοήθεια!$E$39:$E$44),"")</f>
        <v/>
      </c>
      <c r="O56" s="146"/>
    </row>
    <row r="57" spans="2:15" ht="30" customHeight="1" x14ac:dyDescent="0.25">
      <c r="B57" s="42" t="str">
        <f>IF('Συμβατικά ΦΣ'!B56&lt;&gt;"",'Συμβατικά ΦΣ'!B56,"")</f>
        <v/>
      </c>
      <c r="C57" s="43" t="str">
        <f>IF(B57&lt;&gt;"",'Συμβατικά ΦΣ'!G56 &amp; " -" &amp; 'Συμβατικά ΦΣ'!I56 &amp; "W","")</f>
        <v/>
      </c>
      <c r="D57" s="258"/>
      <c r="E57" s="258"/>
      <c r="F57" s="258"/>
      <c r="G57" s="258"/>
      <c r="H57" s="145"/>
      <c r="I57" s="44" t="str">
        <f>IF(B57&lt;&gt;"",'Συμβατικά ΦΣ'!H56,"")</f>
        <v/>
      </c>
      <c r="J57" s="44" t="str">
        <f>IF(C57&lt;&gt;"",ROUND('Γενικά Δεδομένα'!$I$14*I57,0),"")</f>
        <v/>
      </c>
      <c r="K57" s="193"/>
      <c r="L57" s="193"/>
      <c r="M57" s="15" t="str">
        <f t="shared" si="1"/>
        <v/>
      </c>
      <c r="N57" s="193" t="str">
        <f>IF(D57&lt;&gt;"",SUMIF(fs_led,'Νέα ΦΣ'!D57,Βοήθεια!$E$39:$E$44),"")</f>
        <v/>
      </c>
      <c r="O57" s="146"/>
    </row>
    <row r="58" spans="2:15" ht="30" customHeight="1" x14ac:dyDescent="0.25">
      <c r="B58" s="42" t="str">
        <f>IF('Συμβατικά ΦΣ'!B57&lt;&gt;"",'Συμβατικά ΦΣ'!B57,"")</f>
        <v/>
      </c>
      <c r="C58" s="43" t="str">
        <f>IF(B58&lt;&gt;"",'Συμβατικά ΦΣ'!G57 &amp; " -" &amp; 'Συμβατικά ΦΣ'!I57 &amp; "W","")</f>
        <v/>
      </c>
      <c r="D58" s="258"/>
      <c r="E58" s="258"/>
      <c r="F58" s="258"/>
      <c r="G58" s="258"/>
      <c r="H58" s="145"/>
      <c r="I58" s="44" t="str">
        <f>IF(B58&lt;&gt;"",'Συμβατικά ΦΣ'!H57,"")</f>
        <v/>
      </c>
      <c r="J58" s="44" t="str">
        <f>IF(C58&lt;&gt;"",ROUND('Γενικά Δεδομένα'!$I$14*I58,0),"")</f>
        <v/>
      </c>
      <c r="K58" s="193"/>
      <c r="L58" s="193"/>
      <c r="M58" s="15" t="str">
        <f t="shared" si="1"/>
        <v/>
      </c>
      <c r="N58" s="193" t="str">
        <f>IF(D58&lt;&gt;"",SUMIF(fs_led,'Νέα ΦΣ'!D58,Βοήθεια!$E$39:$E$44),"")</f>
        <v/>
      </c>
      <c r="O58" s="146"/>
    </row>
    <row r="59" spans="2:15" ht="30" customHeight="1" x14ac:dyDescent="0.25">
      <c r="B59" s="42" t="str">
        <f>IF('Συμβατικά ΦΣ'!B58&lt;&gt;"",'Συμβατικά ΦΣ'!B58,"")</f>
        <v/>
      </c>
      <c r="C59" s="43" t="str">
        <f>IF(B59&lt;&gt;"",'Συμβατικά ΦΣ'!G58 &amp; " -" &amp; 'Συμβατικά ΦΣ'!I58 &amp; "W","")</f>
        <v/>
      </c>
      <c r="D59" s="258"/>
      <c r="E59" s="258"/>
      <c r="F59" s="258"/>
      <c r="G59" s="258"/>
      <c r="H59" s="145"/>
      <c r="I59" s="44" t="str">
        <f>IF(B59&lt;&gt;"",'Συμβατικά ΦΣ'!H58,"")</f>
        <v/>
      </c>
      <c r="J59" s="44" t="str">
        <f>IF(C59&lt;&gt;"",ROUND('Γενικά Δεδομένα'!$I$14*I59,0),"")</f>
        <v/>
      </c>
      <c r="K59" s="193"/>
      <c r="L59" s="193"/>
      <c r="M59" s="15" t="str">
        <f t="shared" si="1"/>
        <v/>
      </c>
      <c r="N59" s="193" t="str">
        <f>IF(D59&lt;&gt;"",SUMIF(fs_led,'Νέα ΦΣ'!D59,Βοήθεια!$E$39:$E$44),"")</f>
        <v/>
      </c>
      <c r="O59" s="146"/>
    </row>
    <row r="60" spans="2:15" ht="30" customHeight="1" thickBot="1" x14ac:dyDescent="0.3">
      <c r="B60" s="42" t="str">
        <f>IF('Συμβατικά ΦΣ'!B59&lt;&gt;"",'Συμβατικά ΦΣ'!B59,"")</f>
        <v/>
      </c>
      <c r="C60" s="43" t="str">
        <f>IF(B60&lt;&gt;"",'Συμβατικά ΦΣ'!G59 &amp; " -" &amp; 'Συμβατικά ΦΣ'!I59 &amp; "W","")</f>
        <v/>
      </c>
      <c r="D60" s="258"/>
      <c r="E60" s="258"/>
      <c r="F60" s="258"/>
      <c r="G60" s="258"/>
      <c r="H60" s="145"/>
      <c r="I60" s="135" t="str">
        <f>IF(B60&lt;&gt;"",'Συμβατικά ΦΣ'!H59,"")</f>
        <v/>
      </c>
      <c r="J60" s="47" t="str">
        <f>IF(C60&lt;&gt;"",ROUND('Γενικά Δεδομένα'!$I$14*I60,0),"")</f>
        <v/>
      </c>
      <c r="K60" s="193"/>
      <c r="L60" s="193"/>
      <c r="M60" s="52" t="str">
        <f t="shared" si="1"/>
        <v/>
      </c>
      <c r="N60" s="194" t="str">
        <f>IF(D60&lt;&gt;"",SUMIF(fs_led,'Νέα ΦΣ'!D60,Βοήθεια!$E$39:$E$44),"")</f>
        <v/>
      </c>
      <c r="O60" s="146"/>
    </row>
    <row r="61" spans="2:15" x14ac:dyDescent="0.25">
      <c r="I61" s="18"/>
    </row>
  </sheetData>
  <sheetProtection algorithmName="SHA-512" hashValue="BtirNAy+C6Mq1RFbiimVgcFw4G/BbQHmELUzEcUkBQbkjvNiEWvqGsONkUvfnaVBHUNRggiNtW/pBfIgrGnxFg==" saltValue="a1iIoG99VUkamII1oZDZkA==" spinCount="100000" sheet="1" objects="1" scenarios="1"/>
  <dataConsolidate/>
  <mergeCells count="59">
    <mergeCell ref="B2:O2"/>
    <mergeCell ref="D3:G3"/>
    <mergeCell ref="D4:G4"/>
    <mergeCell ref="D5:G5"/>
    <mergeCell ref="D6:G6"/>
    <mergeCell ref="D7:G7"/>
    <mergeCell ref="D8:G8"/>
    <mergeCell ref="D9:G9"/>
    <mergeCell ref="D10:G10"/>
    <mergeCell ref="D11:G11"/>
    <mergeCell ref="D21:G21"/>
    <mergeCell ref="D22:G22"/>
    <mergeCell ref="D12:G12"/>
    <mergeCell ref="D13:G13"/>
    <mergeCell ref="D14:G14"/>
    <mergeCell ref="D15:G15"/>
    <mergeCell ref="D16:G16"/>
    <mergeCell ref="D17:G17"/>
    <mergeCell ref="D18:G18"/>
    <mergeCell ref="D19:G19"/>
    <mergeCell ref="D20:G20"/>
    <mergeCell ref="D29:G29"/>
    <mergeCell ref="D30:G30"/>
    <mergeCell ref="D23:G23"/>
    <mergeCell ref="D24:G24"/>
    <mergeCell ref="D25:G25"/>
    <mergeCell ref="D26:G26"/>
    <mergeCell ref="D27:G27"/>
    <mergeCell ref="D28:G28"/>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51:G51"/>
    <mergeCell ref="D52:G52"/>
    <mergeCell ref="D53:G53"/>
    <mergeCell ref="D54:G54"/>
    <mergeCell ref="D55:G55"/>
    <mergeCell ref="D56:G56"/>
    <mergeCell ref="D57:G57"/>
    <mergeCell ref="D58:G58"/>
    <mergeCell ref="D59:G59"/>
    <mergeCell ref="D60:G60"/>
  </mergeCells>
  <dataValidations count="4">
    <dataValidation type="whole" operator="greaterThanOrEqual" allowBlank="1" showInputMessage="1" showErrorMessage="1" sqref="K1:K2 K8:K1048576">
      <formula1>min_luminary_efficacy</formula1>
    </dataValidation>
    <dataValidation operator="greaterThanOrEqual" allowBlank="1" showInputMessage="1" showErrorMessage="1" sqref="K3 K4:K7"/>
    <dataValidation type="list" allowBlank="1" showInputMessage="1" showErrorMessage="1" sqref="D4:G60">
      <formula1>fs_led</formula1>
    </dataValidation>
    <dataValidation type="list" allowBlank="1" showInputMessage="1" showErrorMessage="1" sqref="O4:O60">
      <formula1>"ΝΑΙ,ΌΧΙ"</formula1>
    </dataValidation>
  </dataValidations>
  <pageMargins left="0.7" right="0.7" top="0.75" bottom="0.75" header="0.3" footer="0.3"/>
  <pageSetup paperSize="9" scale="90" orientation="landscape"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47"/>
  <sheetViews>
    <sheetView zoomScale="115" zoomScaleNormal="115" zoomScalePageLayoutView="115" workbookViewId="0">
      <selection activeCell="F15" sqref="F15"/>
    </sheetView>
  </sheetViews>
  <sheetFormatPr defaultColWidth="9.140625" defaultRowHeight="15" x14ac:dyDescent="0.25"/>
  <cols>
    <col min="1" max="1" width="0.85546875" style="16" customWidth="1"/>
    <col min="2" max="2" width="3.85546875" style="16" bestFit="1" customWidth="1"/>
    <col min="3" max="3" width="20.28515625" style="16" customWidth="1"/>
    <col min="4" max="4" width="20.85546875" style="16" customWidth="1"/>
    <col min="5" max="5" width="11.85546875" style="16" customWidth="1"/>
    <col min="6" max="6" width="13" style="16" customWidth="1"/>
    <col min="7" max="7" width="12.5703125" style="16" customWidth="1"/>
    <col min="8" max="8" width="0.85546875" style="16" customWidth="1"/>
    <col min="9" max="16384" width="9.140625" style="16"/>
  </cols>
  <sheetData>
    <row r="1" spans="2:9" ht="15.75" thickBot="1" x14ac:dyDescent="0.3"/>
    <row r="2" spans="2:9" ht="15.75" x14ac:dyDescent="0.25">
      <c r="B2" s="262" t="s">
        <v>177</v>
      </c>
      <c r="C2" s="263"/>
      <c r="D2" s="263"/>
      <c r="E2" s="263"/>
      <c r="F2" s="263"/>
      <c r="G2" s="264"/>
    </row>
    <row r="3" spans="2:9" ht="39" customHeight="1" x14ac:dyDescent="0.25">
      <c r="B3" s="37" t="s">
        <v>18</v>
      </c>
      <c r="C3" s="186" t="s">
        <v>24</v>
      </c>
      <c r="D3" s="185" t="s">
        <v>80</v>
      </c>
      <c r="E3" s="185" t="s">
        <v>79</v>
      </c>
      <c r="F3" s="185" t="s">
        <v>78</v>
      </c>
      <c r="G3" s="49" t="s">
        <v>81</v>
      </c>
    </row>
    <row r="4" spans="2:9" x14ac:dyDescent="0.25">
      <c r="B4" s="42">
        <f>IF('Συμβατικά ΦΣ'!B4&lt;&gt;"",'Συμβατικά ΦΣ'!B4,"")</f>
        <v>1</v>
      </c>
      <c r="C4" s="43" t="str">
        <f>IF(B4&lt;&gt;"",'Νέα ΦΣ'!C4,"")</f>
        <v>Na250W-1 -287,5W</v>
      </c>
      <c r="D4" s="43" t="str">
        <f>IF(B4&lt;&gt;"",'Νέα ΦΣ'!H4 &amp; " -" &amp; 'Νέα ΦΣ'!M4 &amp; "W","")</f>
        <v>LED110-150-1 -125,45W</v>
      </c>
      <c r="E4" s="44">
        <f>IF(B4&lt;&gt;"",'Νέα ΦΣ'!I4,"")</f>
        <v>2380</v>
      </c>
      <c r="F4" s="147">
        <v>0</v>
      </c>
      <c r="G4" s="50">
        <f>IF(C4&lt;&gt;"",ROUND('Γενικά Δεδομένα'!$I$15*F4,0),"")</f>
        <v>0</v>
      </c>
    </row>
    <row r="5" spans="2:9" ht="15" customHeight="1" x14ac:dyDescent="0.25">
      <c r="B5" s="42">
        <f>IF('Συμβατικά ΦΣ'!B5&lt;&gt;"",'Συμβατικά ΦΣ'!B5,"")</f>
        <v>2</v>
      </c>
      <c r="C5" s="43" t="str">
        <f>IF(B5&lt;&gt;"",'Νέα ΦΣ'!C5,"")</f>
        <v>Na250W-2 -287,5W</v>
      </c>
      <c r="D5" s="43" t="str">
        <f>IF(B5&lt;&gt;"",'Νέα ΦΣ'!H5 &amp; " -" &amp; 'Νέα ΦΣ'!M5 &amp; "W","")</f>
        <v>LED80-110 -95,45W</v>
      </c>
      <c r="E5" s="44">
        <f>IF(B5&lt;&gt;"",'Νέα ΦΣ'!I5,"")</f>
        <v>2435</v>
      </c>
      <c r="F5" s="147">
        <v>2435</v>
      </c>
      <c r="G5" s="50">
        <f>IF(C5&lt;&gt;"",ROUND('Γενικά Δεδομένα'!$I$15*F5,0),"")</f>
        <v>0</v>
      </c>
    </row>
    <row r="6" spans="2:9" ht="15" customHeight="1" x14ac:dyDescent="0.25">
      <c r="B6" s="42">
        <f>IF('Συμβατικά ΦΣ'!B6&lt;&gt;"",'Συμβατικά ΦΣ'!B6,"")</f>
        <v>3</v>
      </c>
      <c r="C6" s="43" t="str">
        <f>IF(B6&lt;&gt;"",'Νέα ΦΣ'!C6,"")</f>
        <v>Na250W-3 -287,5W</v>
      </c>
      <c r="D6" s="43" t="str">
        <f>IF(B6&lt;&gt;"",'Νέα ΦΣ'!H6 &amp; " -" &amp; 'Νέα ΦΣ'!M6 &amp; "W","")</f>
        <v>LED50-80 -76,19W</v>
      </c>
      <c r="E6" s="44">
        <f>IF(B6&lt;&gt;"",'Νέα ΦΣ'!I6,"")</f>
        <v>383</v>
      </c>
      <c r="F6" s="147">
        <v>383</v>
      </c>
      <c r="G6" s="50">
        <f>IF(C6&lt;&gt;"",ROUND('Γενικά Δεδομένα'!$I$15*F6,0),"")</f>
        <v>0</v>
      </c>
    </row>
    <row r="7" spans="2:9" ht="15" customHeight="1" x14ac:dyDescent="0.25">
      <c r="B7" s="42">
        <f>IF('Συμβατικά ΦΣ'!B7&lt;&gt;"",'Συμβατικά ΦΣ'!B7,"")</f>
        <v>4</v>
      </c>
      <c r="C7" s="43" t="str">
        <f>IF(B7&lt;&gt;"",'Νέα ΦΣ'!C7,"")</f>
        <v>FLL1000W -1200W</v>
      </c>
      <c r="D7" s="43" t="str">
        <f>IF(B7&lt;&gt;"",'Νέα ΦΣ'!H7 &amp; " -" &amp; 'Νέα ΦΣ'!M7 &amp; "W","")</f>
        <v>LEDFLL150-200W -188,24W</v>
      </c>
      <c r="E7" s="44">
        <f>IF(B7&lt;&gt;"",'Νέα ΦΣ'!I7,"")</f>
        <v>10</v>
      </c>
      <c r="F7" s="147">
        <v>0</v>
      </c>
      <c r="G7" s="50">
        <f>IF(C7&lt;&gt;"",ROUND('Γενικά Δεδομένα'!$I$15*F7,0),"")</f>
        <v>0</v>
      </c>
      <c r="I7" s="136"/>
    </row>
    <row r="8" spans="2:9" ht="15" customHeight="1" x14ac:dyDescent="0.25">
      <c r="B8" s="42"/>
      <c r="C8" s="43"/>
      <c r="D8" s="43"/>
      <c r="E8" s="44"/>
      <c r="F8" s="147"/>
      <c r="G8" s="50"/>
    </row>
    <row r="9" spans="2:9" ht="15" customHeight="1" x14ac:dyDescent="0.25">
      <c r="B9" s="42"/>
      <c r="C9" s="43"/>
      <c r="D9" s="43"/>
      <c r="E9" s="44"/>
      <c r="F9" s="147"/>
      <c r="G9" s="50"/>
    </row>
    <row r="10" spans="2:9" ht="15" customHeight="1" x14ac:dyDescent="0.25">
      <c r="B10" s="42"/>
      <c r="C10" s="43"/>
      <c r="D10" s="43"/>
      <c r="E10" s="44"/>
      <c r="F10" s="147"/>
      <c r="G10" s="50"/>
    </row>
    <row r="11" spans="2:9" ht="15" customHeight="1" x14ac:dyDescent="0.25">
      <c r="B11" s="42"/>
      <c r="C11" s="43"/>
      <c r="D11" s="43"/>
      <c r="E11" s="44"/>
      <c r="F11" s="147"/>
      <c r="G11" s="50"/>
    </row>
    <row r="12" spans="2:9" ht="15" customHeight="1" x14ac:dyDescent="0.25">
      <c r="B12" s="42"/>
      <c r="C12" s="43"/>
      <c r="D12" s="43"/>
      <c r="E12" s="44"/>
      <c r="F12" s="147"/>
      <c r="G12" s="50"/>
    </row>
    <row r="13" spans="2:9" x14ac:dyDescent="0.25">
      <c r="B13" s="42"/>
      <c r="C13" s="43"/>
      <c r="D13" s="43"/>
      <c r="E13" s="44"/>
      <c r="F13" s="147"/>
      <c r="G13" s="50"/>
    </row>
    <row r="14" spans="2:9" x14ac:dyDescent="0.25">
      <c r="B14" s="42"/>
      <c r="C14" s="43"/>
      <c r="D14" s="43"/>
      <c r="E14" s="44"/>
      <c r="F14" s="147"/>
      <c r="G14" s="50"/>
    </row>
    <row r="15" spans="2:9" x14ac:dyDescent="0.25">
      <c r="B15" s="42" t="str">
        <f>IF('Συμβατικά ΦΣ'!B11&lt;&gt;"",'Συμβατικά ΦΣ'!B11,"")</f>
        <v/>
      </c>
      <c r="C15" s="43" t="str">
        <f>IF(B15&lt;&gt;"",'Νέα ΦΣ'!C12,"")</f>
        <v/>
      </c>
      <c r="D15" s="43" t="str">
        <f>IF(B15&lt;&gt;"",'Νέα ΦΣ'!H12 &amp; " -" &amp; 'Νέα ΦΣ'!M12 &amp; "W","")</f>
        <v/>
      </c>
      <c r="E15" s="44" t="str">
        <f>IF(B15&lt;&gt;"",'Νέα ΦΣ'!I12,"")</f>
        <v/>
      </c>
      <c r="F15" s="147"/>
      <c r="G15" s="50" t="str">
        <f>IF(C15&lt;&gt;"",ROUND('Γενικά Δεδομένα'!$I$15*F15,0),"")</f>
        <v/>
      </c>
    </row>
    <row r="16" spans="2:9" x14ac:dyDescent="0.25">
      <c r="B16" s="42" t="str">
        <f>IF('Συμβατικά ΦΣ'!B12&lt;&gt;"",'Συμβατικά ΦΣ'!B12,"")</f>
        <v/>
      </c>
      <c r="C16" s="43" t="str">
        <f>IF(B16&lt;&gt;"",'Νέα ΦΣ'!C13,"")</f>
        <v/>
      </c>
      <c r="D16" s="43" t="str">
        <f>IF(B16&lt;&gt;"",'Νέα ΦΣ'!H13 &amp; " -" &amp; 'Νέα ΦΣ'!M13 &amp; "W","")</f>
        <v/>
      </c>
      <c r="E16" s="44" t="str">
        <f>IF(B16&lt;&gt;"",'Νέα ΦΣ'!I13,"")</f>
        <v/>
      </c>
      <c r="F16" s="147"/>
      <c r="G16" s="50" t="str">
        <f>IF(C16&lt;&gt;"",ROUND('Γενικά Δεδομένα'!$I$15*F16,0),"")</f>
        <v/>
      </c>
    </row>
    <row r="17" spans="2:7" x14ac:dyDescent="0.25">
      <c r="B17" s="42" t="str">
        <f>IF('Συμβατικά ΦΣ'!B13&lt;&gt;"",'Συμβατικά ΦΣ'!B13,"")</f>
        <v/>
      </c>
      <c r="C17" s="43" t="str">
        <f>IF(B17&lt;&gt;"",'Νέα ΦΣ'!C14,"")</f>
        <v/>
      </c>
      <c r="D17" s="43" t="str">
        <f>IF(B17&lt;&gt;"",'Νέα ΦΣ'!H14 &amp; " -" &amp; 'Νέα ΦΣ'!M14 &amp; "W","")</f>
        <v/>
      </c>
      <c r="E17" s="44" t="str">
        <f>IF(B17&lt;&gt;"",'Νέα ΦΣ'!I14,"")</f>
        <v/>
      </c>
      <c r="F17" s="147"/>
      <c r="G17" s="50" t="str">
        <f>IF(C17&lt;&gt;"",ROUND('Γενικά Δεδομένα'!$I$15*F17,0),"")</f>
        <v/>
      </c>
    </row>
    <row r="18" spans="2:7" x14ac:dyDescent="0.25">
      <c r="B18" s="42" t="str">
        <f>IF('Συμβατικά ΦΣ'!B14&lt;&gt;"",'Συμβατικά ΦΣ'!B14,"")</f>
        <v/>
      </c>
      <c r="C18" s="43" t="str">
        <f>IF(B18&lt;&gt;"",'Νέα ΦΣ'!C15,"")</f>
        <v/>
      </c>
      <c r="D18" s="43" t="str">
        <f>IF(B18&lt;&gt;"",'Νέα ΦΣ'!H15 &amp; " -" &amp; 'Νέα ΦΣ'!M15 &amp; "W","")</f>
        <v/>
      </c>
      <c r="E18" s="44" t="str">
        <f>IF(B18&lt;&gt;"",'Νέα ΦΣ'!I15,"")</f>
        <v/>
      </c>
      <c r="F18" s="147"/>
      <c r="G18" s="50" t="str">
        <f>IF(C18&lt;&gt;"",ROUND('Γενικά Δεδομένα'!$I$15*F18,0),"")</f>
        <v/>
      </c>
    </row>
    <row r="19" spans="2:7" x14ac:dyDescent="0.25">
      <c r="B19" s="42" t="str">
        <f>IF('Συμβατικά ΦΣ'!B15&lt;&gt;"",'Συμβατικά ΦΣ'!B15,"")</f>
        <v/>
      </c>
      <c r="C19" s="43" t="str">
        <f>IF(B19&lt;&gt;"",'Νέα ΦΣ'!C16,"")</f>
        <v/>
      </c>
      <c r="D19" s="43" t="str">
        <f>IF(B19&lt;&gt;"",'Νέα ΦΣ'!H16 &amp; " -" &amp; 'Νέα ΦΣ'!M16 &amp; "W","")</f>
        <v/>
      </c>
      <c r="E19" s="44" t="str">
        <f>IF(B19&lt;&gt;"",'Νέα ΦΣ'!I16,"")</f>
        <v/>
      </c>
      <c r="F19" s="147"/>
      <c r="G19" s="50" t="str">
        <f>IF(C19&lt;&gt;"",ROUND('Γενικά Δεδομένα'!$I$15*F19,0),"")</f>
        <v/>
      </c>
    </row>
    <row r="20" spans="2:7" x14ac:dyDescent="0.25">
      <c r="B20" s="42" t="str">
        <f>IF('Συμβατικά ΦΣ'!B16&lt;&gt;"",'Συμβατικά ΦΣ'!B16,"")</f>
        <v/>
      </c>
      <c r="C20" s="43" t="str">
        <f>IF(B20&lt;&gt;"",'Νέα ΦΣ'!C17,"")</f>
        <v/>
      </c>
      <c r="D20" s="43" t="str">
        <f>IF(B20&lt;&gt;"",'Νέα ΦΣ'!H17 &amp; " -" &amp; 'Νέα ΦΣ'!M17 &amp; "W","")</f>
        <v/>
      </c>
      <c r="E20" s="44" t="str">
        <f>IF(B20&lt;&gt;"",'Νέα ΦΣ'!I17,"")</f>
        <v/>
      </c>
      <c r="F20" s="147"/>
      <c r="G20" s="50" t="str">
        <f>IF(C20&lt;&gt;"",ROUND('Γενικά Δεδομένα'!$I$15*F20,0),"")</f>
        <v/>
      </c>
    </row>
    <row r="21" spans="2:7" x14ac:dyDescent="0.25">
      <c r="B21" s="42" t="str">
        <f>IF('Συμβατικά ΦΣ'!B17&lt;&gt;"",'Συμβατικά ΦΣ'!B17,"")</f>
        <v/>
      </c>
      <c r="C21" s="43" t="str">
        <f>IF(B21&lt;&gt;"",'Νέα ΦΣ'!C18,"")</f>
        <v/>
      </c>
      <c r="D21" s="43" t="str">
        <f>IF(B21&lt;&gt;"",'Νέα ΦΣ'!H18 &amp; " -" &amp; 'Νέα ΦΣ'!M18 &amp; "W","")</f>
        <v/>
      </c>
      <c r="E21" s="44" t="str">
        <f>IF(B21&lt;&gt;"",'Νέα ΦΣ'!I18,"")</f>
        <v/>
      </c>
      <c r="F21" s="147"/>
      <c r="G21" s="50" t="str">
        <f>IF(C21&lt;&gt;"",ROUND('Γενικά Δεδομένα'!$I$15*F21,0),"")</f>
        <v/>
      </c>
    </row>
    <row r="22" spans="2:7" x14ac:dyDescent="0.25">
      <c r="B22" s="42" t="str">
        <f>IF('Συμβατικά ΦΣ'!B18&lt;&gt;"",'Συμβατικά ΦΣ'!B18,"")</f>
        <v/>
      </c>
      <c r="C22" s="43" t="str">
        <f>IF(B22&lt;&gt;"",'Νέα ΦΣ'!C19,"")</f>
        <v/>
      </c>
      <c r="D22" s="43" t="str">
        <f>IF(B22&lt;&gt;"",'Νέα ΦΣ'!H19 &amp; " -" &amp; 'Νέα ΦΣ'!M19 &amp; "W","")</f>
        <v/>
      </c>
      <c r="E22" s="44" t="str">
        <f>IF(B22&lt;&gt;"",'Νέα ΦΣ'!I19,"")</f>
        <v/>
      </c>
      <c r="F22" s="147"/>
      <c r="G22" s="50" t="str">
        <f>IF(C22&lt;&gt;"",ROUND('Γενικά Δεδομένα'!$I$15*F22,0),"")</f>
        <v/>
      </c>
    </row>
    <row r="23" spans="2:7" x14ac:dyDescent="0.25">
      <c r="B23" s="42" t="str">
        <f>IF('Συμβατικά ΦΣ'!B19&lt;&gt;"",'Συμβατικά ΦΣ'!B19,"")</f>
        <v/>
      </c>
      <c r="C23" s="43" t="str">
        <f>IF(B23&lt;&gt;"",'Νέα ΦΣ'!C20,"")</f>
        <v/>
      </c>
      <c r="D23" s="43" t="str">
        <f>IF(B23&lt;&gt;"",'Νέα ΦΣ'!H20 &amp; " -" &amp; 'Νέα ΦΣ'!M20 &amp; "W","")</f>
        <v/>
      </c>
      <c r="E23" s="44" t="str">
        <f>IF(B23&lt;&gt;"",'Νέα ΦΣ'!I20,"")</f>
        <v/>
      </c>
      <c r="F23" s="147"/>
      <c r="G23" s="50" t="str">
        <f>IF(C23&lt;&gt;"",ROUND('Γενικά Δεδομένα'!$I$15*F23,0),"")</f>
        <v/>
      </c>
    </row>
    <row r="24" spans="2:7" x14ac:dyDescent="0.25">
      <c r="B24" s="42" t="str">
        <f>IF('Συμβατικά ΦΣ'!B20&lt;&gt;"",'Συμβατικά ΦΣ'!B20,"")</f>
        <v/>
      </c>
      <c r="C24" s="43" t="str">
        <f>IF(B24&lt;&gt;"",'Νέα ΦΣ'!C21,"")</f>
        <v/>
      </c>
      <c r="D24" s="43" t="str">
        <f>IF(B24&lt;&gt;"",'Νέα ΦΣ'!H21 &amp; " -" &amp; 'Νέα ΦΣ'!M21 &amp; "W","")</f>
        <v/>
      </c>
      <c r="E24" s="44" t="str">
        <f>IF(B24&lt;&gt;"",'Νέα ΦΣ'!I21,"")</f>
        <v/>
      </c>
      <c r="F24" s="147"/>
      <c r="G24" s="50" t="str">
        <f>IF(C24&lt;&gt;"",ROUND('Γενικά Δεδομένα'!$I$15*F24,0),"")</f>
        <v/>
      </c>
    </row>
    <row r="25" spans="2:7" x14ac:dyDescent="0.25">
      <c r="B25" s="42" t="str">
        <f>IF('Συμβατικά ΦΣ'!B21&lt;&gt;"",'Συμβατικά ΦΣ'!B21,"")</f>
        <v/>
      </c>
      <c r="C25" s="43" t="str">
        <f>IF(B25&lt;&gt;"",'Νέα ΦΣ'!C22,"")</f>
        <v/>
      </c>
      <c r="D25" s="43" t="str">
        <f>IF(B25&lt;&gt;"",'Νέα ΦΣ'!H22 &amp; " -" &amp; 'Νέα ΦΣ'!M22 &amp; "W","")</f>
        <v/>
      </c>
      <c r="E25" s="44" t="str">
        <f>IF(B25&lt;&gt;"",'Νέα ΦΣ'!I22,"")</f>
        <v/>
      </c>
      <c r="F25" s="147"/>
      <c r="G25" s="50" t="str">
        <f>IF(C25&lt;&gt;"",ROUND('Γενικά Δεδομένα'!$I$15*F25,0),"")</f>
        <v/>
      </c>
    </row>
    <row r="26" spans="2:7" x14ac:dyDescent="0.25">
      <c r="B26" s="42" t="str">
        <f>IF('Συμβατικά ΦΣ'!B22&lt;&gt;"",'Συμβατικά ΦΣ'!B22,"")</f>
        <v/>
      </c>
      <c r="C26" s="43" t="str">
        <f>IF(B26&lt;&gt;"",'Νέα ΦΣ'!C23,"")</f>
        <v/>
      </c>
      <c r="D26" s="43" t="str">
        <f>IF(B26&lt;&gt;"",'Νέα ΦΣ'!H23 &amp; " -" &amp; 'Νέα ΦΣ'!M23 &amp; "W","")</f>
        <v/>
      </c>
      <c r="E26" s="44" t="str">
        <f>IF(B26&lt;&gt;"",'Νέα ΦΣ'!I23,"")</f>
        <v/>
      </c>
      <c r="F26" s="147"/>
      <c r="G26" s="50" t="str">
        <f>IF(C26&lt;&gt;"",ROUND('Γενικά Δεδομένα'!$I$15*F26,0),"")</f>
        <v/>
      </c>
    </row>
    <row r="27" spans="2:7" x14ac:dyDescent="0.25">
      <c r="B27" s="42" t="str">
        <f>IF('Συμβατικά ΦΣ'!B23&lt;&gt;"",'Συμβατικά ΦΣ'!B23,"")</f>
        <v/>
      </c>
      <c r="C27" s="43" t="str">
        <f>IF(B27&lt;&gt;"",'Νέα ΦΣ'!C24,"")</f>
        <v/>
      </c>
      <c r="D27" s="43" t="str">
        <f>IF(B27&lt;&gt;"",'Νέα ΦΣ'!H24 &amp; " -" &amp; 'Νέα ΦΣ'!M24 &amp; "W","")</f>
        <v/>
      </c>
      <c r="E27" s="44" t="str">
        <f>IF(B27&lt;&gt;"",'Νέα ΦΣ'!I24,"")</f>
        <v/>
      </c>
      <c r="F27" s="147"/>
      <c r="G27" s="50" t="str">
        <f>IF(C27&lt;&gt;"",ROUND('Γενικά Δεδομένα'!$I$15*F27,0),"")</f>
        <v/>
      </c>
    </row>
    <row r="28" spans="2:7" x14ac:dyDescent="0.25">
      <c r="B28" s="42" t="str">
        <f>IF('Συμβατικά ΦΣ'!B24&lt;&gt;"",'Συμβατικά ΦΣ'!B24,"")</f>
        <v/>
      </c>
      <c r="C28" s="43" t="str">
        <f>IF(B28&lt;&gt;"",'Νέα ΦΣ'!C25,"")</f>
        <v/>
      </c>
      <c r="D28" s="43" t="str">
        <f>IF(B28&lt;&gt;"",'Νέα ΦΣ'!H25 &amp; " -" &amp; 'Νέα ΦΣ'!M25 &amp; "W","")</f>
        <v/>
      </c>
      <c r="E28" s="44" t="str">
        <f>IF(B28&lt;&gt;"",'Νέα ΦΣ'!I25,"")</f>
        <v/>
      </c>
      <c r="F28" s="147"/>
      <c r="G28" s="50" t="str">
        <f>IF(C28&lt;&gt;"",ROUND('Γενικά Δεδομένα'!$I$15*F28,0),"")</f>
        <v/>
      </c>
    </row>
    <row r="29" spans="2:7" x14ac:dyDescent="0.25">
      <c r="B29" s="42" t="str">
        <f>IF('Συμβατικά ΦΣ'!B25&lt;&gt;"",'Συμβατικά ΦΣ'!B25,"")</f>
        <v/>
      </c>
      <c r="C29" s="43" t="str">
        <f>IF(B29&lt;&gt;"",'Νέα ΦΣ'!C26,"")</f>
        <v/>
      </c>
      <c r="D29" s="43" t="str">
        <f>IF(B29&lt;&gt;"",'Νέα ΦΣ'!H26 &amp; " -" &amp; 'Νέα ΦΣ'!M26 &amp; "W","")</f>
        <v/>
      </c>
      <c r="E29" s="44" t="str">
        <f>IF(B29&lt;&gt;"",'Νέα ΦΣ'!I26,"")</f>
        <v/>
      </c>
      <c r="F29" s="147"/>
      <c r="G29" s="50" t="str">
        <f>IF(C29&lt;&gt;"",ROUND('Γενικά Δεδομένα'!$I$15*F29,0),"")</f>
        <v/>
      </c>
    </row>
    <row r="30" spans="2:7" x14ac:dyDescent="0.25">
      <c r="B30" s="42" t="str">
        <f>IF('Συμβατικά ΦΣ'!B26&lt;&gt;"",'Συμβατικά ΦΣ'!B26,"")</f>
        <v/>
      </c>
      <c r="C30" s="43" t="str">
        <f>IF(B30&lt;&gt;"",'Νέα ΦΣ'!C27,"")</f>
        <v/>
      </c>
      <c r="D30" s="43" t="str">
        <f>IF(B30&lt;&gt;"",'Νέα ΦΣ'!H27 &amp; " -" &amp; 'Νέα ΦΣ'!M27 &amp; "W","")</f>
        <v/>
      </c>
      <c r="E30" s="44" t="str">
        <f>IF(B30&lt;&gt;"",'Νέα ΦΣ'!I27,"")</f>
        <v/>
      </c>
      <c r="F30" s="147"/>
      <c r="G30" s="50" t="str">
        <f>IF(C30&lt;&gt;"",ROUND('Γενικά Δεδομένα'!$I$15*F30,0),"")</f>
        <v/>
      </c>
    </row>
    <row r="31" spans="2:7" x14ac:dyDescent="0.25">
      <c r="B31" s="42" t="str">
        <f>IF('Συμβατικά ΦΣ'!B27&lt;&gt;"",'Συμβατικά ΦΣ'!B27,"")</f>
        <v/>
      </c>
      <c r="C31" s="43" t="str">
        <f>IF(B31&lt;&gt;"",'Νέα ΦΣ'!C28,"")</f>
        <v/>
      </c>
      <c r="D31" s="43" t="str">
        <f>IF(B31&lt;&gt;"",'Νέα ΦΣ'!H28 &amp; " -" &amp; 'Νέα ΦΣ'!M28 &amp; "W","")</f>
        <v/>
      </c>
      <c r="E31" s="44" t="str">
        <f>IF(B31&lt;&gt;"",'Νέα ΦΣ'!I28,"")</f>
        <v/>
      </c>
      <c r="F31" s="147"/>
      <c r="G31" s="50" t="str">
        <f>IF(C31&lt;&gt;"",ROUND('Γενικά Δεδομένα'!$I$15*F31,0),"")</f>
        <v/>
      </c>
    </row>
    <row r="32" spans="2:7" x14ac:dyDescent="0.25">
      <c r="B32" s="42" t="str">
        <f>IF('Συμβατικά ΦΣ'!B28&lt;&gt;"",'Συμβατικά ΦΣ'!B28,"")</f>
        <v/>
      </c>
      <c r="C32" s="43" t="str">
        <f>IF(B32&lt;&gt;"",'Νέα ΦΣ'!C29,"")</f>
        <v/>
      </c>
      <c r="D32" s="43" t="str">
        <f>IF(B32&lt;&gt;"",'Νέα ΦΣ'!H29 &amp; " -" &amp; 'Νέα ΦΣ'!M29 &amp; "W","")</f>
        <v/>
      </c>
      <c r="E32" s="44" t="str">
        <f>IF(B32&lt;&gt;"",'Νέα ΦΣ'!I29,"")</f>
        <v/>
      </c>
      <c r="F32" s="147"/>
      <c r="G32" s="50" t="str">
        <f>IF(C32&lt;&gt;"",ROUND('Γενικά Δεδομένα'!$I$15*F32,0),"")</f>
        <v/>
      </c>
    </row>
    <row r="33" spans="2:7" x14ac:dyDescent="0.25">
      <c r="B33" s="42" t="str">
        <f>IF('Συμβατικά ΦΣ'!B29&lt;&gt;"",'Συμβατικά ΦΣ'!B29,"")</f>
        <v/>
      </c>
      <c r="C33" s="43" t="str">
        <f>IF(B33&lt;&gt;"",'Νέα ΦΣ'!C30,"")</f>
        <v/>
      </c>
      <c r="D33" s="43" t="str">
        <f>IF(B33&lt;&gt;"",'Νέα ΦΣ'!H30 &amp; " -" &amp; 'Νέα ΦΣ'!M30 &amp; "W","")</f>
        <v/>
      </c>
      <c r="E33" s="44" t="str">
        <f>IF(B33&lt;&gt;"",'Νέα ΦΣ'!I30,"")</f>
        <v/>
      </c>
      <c r="F33" s="147"/>
      <c r="G33" s="50" t="str">
        <f>IF(C33&lt;&gt;"",ROUND('Γενικά Δεδομένα'!$I$15*F33,0),"")</f>
        <v/>
      </c>
    </row>
    <row r="34" spans="2:7" x14ac:dyDescent="0.25">
      <c r="B34" s="42" t="str">
        <f>IF('Συμβατικά ΦΣ'!B30&lt;&gt;"",'Συμβατικά ΦΣ'!B30,"")</f>
        <v/>
      </c>
      <c r="C34" s="43" t="str">
        <f>IF(B34&lt;&gt;"",'Νέα ΦΣ'!C31,"")</f>
        <v/>
      </c>
      <c r="D34" s="43" t="str">
        <f>IF(B34&lt;&gt;"",'Νέα ΦΣ'!H31 &amp; " -" &amp; 'Νέα ΦΣ'!M31 &amp; "W","")</f>
        <v/>
      </c>
      <c r="E34" s="44" t="str">
        <f>IF(B34&lt;&gt;"",'Νέα ΦΣ'!I31,"")</f>
        <v/>
      </c>
      <c r="F34" s="147"/>
      <c r="G34" s="50" t="str">
        <f>IF(C34&lt;&gt;"",ROUND('Γενικά Δεδομένα'!$I$15*F34,0),"")</f>
        <v/>
      </c>
    </row>
    <row r="35" spans="2:7" x14ac:dyDescent="0.25">
      <c r="B35" s="20"/>
      <c r="C35" s="21"/>
      <c r="D35" s="21"/>
      <c r="E35" s="21"/>
      <c r="F35" s="21"/>
      <c r="G35" s="22"/>
    </row>
    <row r="36" spans="2:7" x14ac:dyDescent="0.25">
      <c r="B36" s="20"/>
      <c r="C36" s="21"/>
      <c r="D36" s="21"/>
      <c r="E36" s="21"/>
      <c r="F36" s="21"/>
      <c r="G36" s="22"/>
    </row>
    <row r="37" spans="2:7" x14ac:dyDescent="0.25">
      <c r="B37" s="20"/>
      <c r="C37" s="21"/>
      <c r="D37" s="21"/>
      <c r="E37" s="21"/>
      <c r="F37" s="21"/>
      <c r="G37" s="22"/>
    </row>
    <row r="38" spans="2:7" x14ac:dyDescent="0.25">
      <c r="B38" s="20"/>
      <c r="C38" s="21"/>
      <c r="D38" s="21"/>
      <c r="E38" s="21"/>
      <c r="F38" s="21"/>
      <c r="G38" s="22"/>
    </row>
    <row r="39" spans="2:7" x14ac:dyDescent="0.25">
      <c r="B39" s="20"/>
      <c r="C39" s="21"/>
      <c r="D39" s="21"/>
      <c r="E39" s="21"/>
      <c r="F39" s="21"/>
      <c r="G39" s="22"/>
    </row>
    <row r="40" spans="2:7" x14ac:dyDescent="0.25">
      <c r="B40" s="20"/>
      <c r="C40" s="21"/>
      <c r="D40" s="21"/>
      <c r="E40" s="21"/>
      <c r="F40" s="21"/>
      <c r="G40" s="22"/>
    </row>
    <row r="41" spans="2:7" x14ac:dyDescent="0.25">
      <c r="B41" s="20"/>
      <c r="C41" s="21"/>
      <c r="D41" s="21"/>
      <c r="E41" s="21"/>
      <c r="F41" s="21"/>
      <c r="G41" s="22"/>
    </row>
    <row r="42" spans="2:7" x14ac:dyDescent="0.25">
      <c r="B42" s="20"/>
      <c r="C42" s="21"/>
      <c r="D42" s="21"/>
      <c r="E42" s="21"/>
      <c r="F42" s="21"/>
      <c r="G42" s="22"/>
    </row>
    <row r="43" spans="2:7" x14ac:dyDescent="0.25">
      <c r="B43" s="20"/>
      <c r="C43" s="21"/>
      <c r="D43" s="21"/>
      <c r="E43" s="21"/>
      <c r="F43" s="21"/>
      <c r="G43" s="22"/>
    </row>
    <row r="44" spans="2:7" x14ac:dyDescent="0.25">
      <c r="B44" s="20"/>
      <c r="C44" s="21"/>
      <c r="D44" s="21"/>
      <c r="E44" s="21"/>
      <c r="F44" s="21"/>
      <c r="G44" s="22"/>
    </row>
    <row r="45" spans="2:7" x14ac:dyDescent="0.25">
      <c r="B45" s="20"/>
      <c r="C45" s="21"/>
      <c r="D45" s="21"/>
      <c r="E45" s="21"/>
      <c r="F45" s="21"/>
      <c r="G45" s="22"/>
    </row>
    <row r="46" spans="2:7" x14ac:dyDescent="0.25">
      <c r="B46" s="20"/>
      <c r="C46" s="21"/>
      <c r="D46" s="21"/>
      <c r="E46" s="21"/>
      <c r="F46" s="21"/>
      <c r="G46" s="22"/>
    </row>
    <row r="47" spans="2:7" ht="15.75" thickBot="1" x14ac:dyDescent="0.3">
      <c r="B47" s="26"/>
      <c r="C47" s="27"/>
      <c r="D47" s="27"/>
      <c r="E47" s="27"/>
      <c r="F47" s="27"/>
      <c r="G47" s="28"/>
    </row>
  </sheetData>
  <sheetProtection algorithmName="SHA-512" hashValue="DPKC9ui3FVK3WM1h3DDc3VkFTT/OOBbazygx4uTDK8cIWAAMAqiUw1OVJAb2rBVN53+3tOIc5CODAFfH6A+09g==" saltValue="Oeyeuf0vXbUd5LyDwBqbXg==" spinCount="100000" sheet="1" objects="1" scenarios="1"/>
  <mergeCells count="1">
    <mergeCell ref="B2:G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showWhiteSpace="0" topLeftCell="A37" zoomScaleNormal="100" workbookViewId="0">
      <selection activeCell="J55" sqref="J55"/>
    </sheetView>
  </sheetViews>
  <sheetFormatPr defaultRowHeight="15" x14ac:dyDescent="0.25"/>
  <cols>
    <col min="1" max="1" width="0.7109375" customWidth="1"/>
    <col min="2" max="7" width="9.7109375" customWidth="1"/>
    <col min="8" max="9" width="10" customWidth="1"/>
  </cols>
  <sheetData>
    <row r="1" spans="2:9" ht="15.75" thickBot="1" x14ac:dyDescent="0.3"/>
    <row r="2" spans="2:9" ht="15.75" x14ac:dyDescent="0.25">
      <c r="B2" s="290" t="s">
        <v>77</v>
      </c>
      <c r="C2" s="291"/>
      <c r="D2" s="291"/>
      <c r="E2" s="291"/>
      <c r="F2" s="291"/>
      <c r="G2" s="291"/>
      <c r="H2" s="291"/>
      <c r="I2" s="292"/>
    </row>
    <row r="3" spans="2:9" ht="15" customHeight="1" x14ac:dyDescent="0.25">
      <c r="B3" s="273" t="s">
        <v>30</v>
      </c>
      <c r="C3" s="274"/>
      <c r="D3" s="274"/>
      <c r="E3" s="274"/>
      <c r="F3" s="274"/>
      <c r="G3" s="274"/>
      <c r="H3" s="274"/>
      <c r="I3" s="275"/>
    </row>
    <row r="4" spans="2:9" ht="15" customHeight="1" x14ac:dyDescent="0.25">
      <c r="B4" s="288" t="s">
        <v>298</v>
      </c>
      <c r="C4" s="289"/>
      <c r="D4" s="289"/>
      <c r="E4" s="289"/>
      <c r="F4" s="289"/>
      <c r="G4" s="289"/>
      <c r="H4" s="286">
        <f>SUM('Συμβατικά ΦΣ'!H4:H59)</f>
        <v>5208</v>
      </c>
      <c r="I4" s="287"/>
    </row>
    <row r="5" spans="2:9" ht="15" customHeight="1" x14ac:dyDescent="0.25">
      <c r="B5" s="288" t="s">
        <v>32</v>
      </c>
      <c r="C5" s="289"/>
      <c r="D5" s="289"/>
      <c r="E5" s="289"/>
      <c r="F5" s="289"/>
      <c r="G5" s="289"/>
      <c r="H5" s="281">
        <f>ROUND(SUM(Υπολογισμοί!E4:E63)/1000,2)</f>
        <v>1506.43</v>
      </c>
      <c r="I5" s="282"/>
    </row>
    <row r="6" spans="2:9" ht="15" customHeight="1" x14ac:dyDescent="0.25">
      <c r="B6" s="288" t="s">
        <v>33</v>
      </c>
      <c r="C6" s="289"/>
      <c r="D6" s="289"/>
      <c r="E6" s="289"/>
      <c r="F6" s="289"/>
      <c r="G6" s="289"/>
      <c r="H6" s="286">
        <f>SUM(Υπολογισμοί!G4:G63)</f>
        <v>6543156.9899999993</v>
      </c>
      <c r="I6" s="287"/>
    </row>
    <row r="7" spans="2:9" ht="15" customHeight="1" x14ac:dyDescent="0.25">
      <c r="B7" s="288" t="s">
        <v>34</v>
      </c>
      <c r="C7" s="289"/>
      <c r="D7" s="289"/>
      <c r="E7" s="289"/>
      <c r="F7" s="289"/>
      <c r="G7" s="289"/>
      <c r="H7" s="286">
        <f>ROUND(H6*'Γενικά Δεδομένα'!I4,2)</f>
        <v>981473.55</v>
      </c>
      <c r="I7" s="287"/>
    </row>
    <row r="8" spans="2:9" x14ac:dyDescent="0.25">
      <c r="B8" s="265"/>
      <c r="C8" s="266"/>
      <c r="D8" s="266"/>
      <c r="E8" s="266"/>
      <c r="F8" s="266"/>
      <c r="G8" s="266"/>
      <c r="H8" s="266"/>
      <c r="I8" s="267"/>
    </row>
    <row r="9" spans="2:9" ht="15" customHeight="1" x14ac:dyDescent="0.25">
      <c r="B9" s="273" t="s">
        <v>36</v>
      </c>
      <c r="C9" s="274"/>
      <c r="D9" s="274"/>
      <c r="E9" s="274"/>
      <c r="F9" s="274"/>
      <c r="G9" s="274"/>
      <c r="H9" s="274"/>
      <c r="I9" s="275"/>
    </row>
    <row r="10" spans="2:9" ht="15" customHeight="1" x14ac:dyDescent="0.25">
      <c r="B10" s="276" t="s">
        <v>31</v>
      </c>
      <c r="C10" s="277"/>
      <c r="D10" s="277"/>
      <c r="E10" s="277"/>
      <c r="F10" s="277"/>
      <c r="G10" s="277"/>
      <c r="H10" s="286">
        <f>SUM('Νέα ΦΣ'!I4:I60)</f>
        <v>5208</v>
      </c>
      <c r="I10" s="287"/>
    </row>
    <row r="11" spans="2:9" ht="15" customHeight="1" x14ac:dyDescent="0.25">
      <c r="B11" s="276" t="s">
        <v>32</v>
      </c>
      <c r="C11" s="277"/>
      <c r="D11" s="277"/>
      <c r="E11" s="277"/>
      <c r="F11" s="277"/>
      <c r="G11" s="277"/>
      <c r="H11" s="281">
        <f>ROUND(SUM(Υπολογισμοί!F4:F63)/1000,2)</f>
        <v>562.04999999999995</v>
      </c>
      <c r="I11" s="282"/>
    </row>
    <row r="12" spans="2:9" ht="15" customHeight="1" x14ac:dyDescent="0.25">
      <c r="B12" s="276" t="s">
        <v>33</v>
      </c>
      <c r="C12" s="277"/>
      <c r="D12" s="277"/>
      <c r="E12" s="277"/>
      <c r="F12" s="277"/>
      <c r="G12" s="277"/>
      <c r="H12" s="286">
        <f>SUM(Υπολογισμοί!H4:H63)</f>
        <v>2441285.54</v>
      </c>
      <c r="I12" s="287"/>
    </row>
    <row r="13" spans="2:9" ht="15" customHeight="1" x14ac:dyDescent="0.25">
      <c r="B13" s="276" t="s">
        <v>34</v>
      </c>
      <c r="C13" s="277"/>
      <c r="D13" s="277"/>
      <c r="E13" s="277"/>
      <c r="F13" s="277"/>
      <c r="G13" s="277"/>
      <c r="H13" s="286">
        <f>ROUND(H12*'Γενικά Δεδομένα'!I4,2)</f>
        <v>366192.83</v>
      </c>
      <c r="I13" s="287"/>
    </row>
    <row r="14" spans="2:9" ht="15" customHeight="1" x14ac:dyDescent="0.25">
      <c r="B14" s="265"/>
      <c r="C14" s="266"/>
      <c r="D14" s="266"/>
      <c r="E14" s="266"/>
      <c r="F14" s="266"/>
      <c r="G14" s="266"/>
      <c r="H14" s="266"/>
      <c r="I14" s="267"/>
    </row>
    <row r="15" spans="2:9" ht="15" customHeight="1" x14ac:dyDescent="0.25">
      <c r="B15" s="273" t="s">
        <v>123</v>
      </c>
      <c r="C15" s="274"/>
      <c r="D15" s="274"/>
      <c r="E15" s="274"/>
      <c r="F15" s="274"/>
      <c r="G15" s="274"/>
      <c r="H15" s="274"/>
      <c r="I15" s="275"/>
    </row>
    <row r="16" spans="2:9" x14ac:dyDescent="0.25">
      <c r="B16" s="276" t="s">
        <v>44</v>
      </c>
      <c r="C16" s="277"/>
      <c r="D16" s="277"/>
      <c r="E16" s="277"/>
      <c r="F16" s="277"/>
      <c r="G16" s="277"/>
      <c r="H16" s="281">
        <f>SUM(Υπολογισμοί!I4:I63)</f>
        <v>0</v>
      </c>
      <c r="I16" s="282"/>
    </row>
    <row r="17" spans="2:9" x14ac:dyDescent="0.25">
      <c r="B17" s="276" t="s">
        <v>45</v>
      </c>
      <c r="C17" s="277"/>
      <c r="D17" s="277"/>
      <c r="E17" s="277"/>
      <c r="F17" s="277"/>
      <c r="G17" s="277"/>
      <c r="H17" s="281">
        <f>SUM(Υπολογισμοί!K4:K63)</f>
        <v>0</v>
      </c>
      <c r="I17" s="282"/>
    </row>
    <row r="18" spans="2:9" ht="14.45" customHeight="1" x14ac:dyDescent="0.25">
      <c r="B18" s="276" t="s">
        <v>46</v>
      </c>
      <c r="C18" s="277"/>
      <c r="D18" s="277"/>
      <c r="E18" s="277"/>
      <c r="F18" s="277"/>
      <c r="G18" s="277"/>
      <c r="H18" s="281">
        <f>+H16+H17</f>
        <v>0</v>
      </c>
      <c r="I18" s="282"/>
    </row>
    <row r="19" spans="2:9" ht="14.45" customHeight="1" x14ac:dyDescent="0.25">
      <c r="B19" s="276" t="s">
        <v>165</v>
      </c>
      <c r="C19" s="277"/>
      <c r="D19" s="277"/>
      <c r="E19" s="277"/>
      <c r="F19" s="277"/>
      <c r="G19" s="277"/>
      <c r="H19" s="281">
        <f>ROUND(H18*('Γενικά Δεδομένα'!$I$3),2)</f>
        <v>0</v>
      </c>
      <c r="I19" s="282"/>
    </row>
    <row r="20" spans="2:9" x14ac:dyDescent="0.25">
      <c r="B20" s="276" t="s">
        <v>47</v>
      </c>
      <c r="C20" s="277"/>
      <c r="D20" s="277"/>
      <c r="E20" s="277"/>
      <c r="F20" s="277"/>
      <c r="G20" s="277"/>
      <c r="H20" s="281">
        <f>H18+H19</f>
        <v>0</v>
      </c>
      <c r="I20" s="282"/>
    </row>
    <row r="21" spans="2:9" x14ac:dyDescent="0.25">
      <c r="B21" s="265"/>
      <c r="C21" s="266"/>
      <c r="D21" s="266"/>
      <c r="E21" s="266"/>
      <c r="F21" s="266"/>
      <c r="G21" s="266"/>
      <c r="H21" s="266"/>
      <c r="I21" s="267"/>
    </row>
    <row r="22" spans="2:9" x14ac:dyDescent="0.25">
      <c r="B22" s="273" t="s">
        <v>48</v>
      </c>
      <c r="C22" s="274"/>
      <c r="D22" s="274"/>
      <c r="E22" s="274"/>
      <c r="F22" s="274"/>
      <c r="G22" s="274"/>
      <c r="H22" s="274"/>
      <c r="I22" s="275"/>
    </row>
    <row r="23" spans="2:9" x14ac:dyDescent="0.25">
      <c r="B23" s="276" t="s">
        <v>49</v>
      </c>
      <c r="C23" s="277"/>
      <c r="D23" s="277"/>
      <c r="E23" s="277"/>
      <c r="F23" s="277"/>
      <c r="G23" s="277"/>
      <c r="H23" s="281">
        <f>SUM(Υπολογισμοί!J4:J63)</f>
        <v>3432333</v>
      </c>
      <c r="I23" s="282"/>
    </row>
    <row r="24" spans="2:9" x14ac:dyDescent="0.25">
      <c r="B24" s="276" t="s">
        <v>50</v>
      </c>
      <c r="C24" s="277"/>
      <c r="D24" s="277"/>
      <c r="E24" s="277"/>
      <c r="F24" s="277"/>
      <c r="G24" s="277"/>
      <c r="H24" s="281">
        <f>SUM(Υπολογισμοί!L4:L63)</f>
        <v>225440</v>
      </c>
      <c r="I24" s="282"/>
    </row>
    <row r="25" spans="2:9" x14ac:dyDescent="0.25">
      <c r="B25" s="276" t="s">
        <v>46</v>
      </c>
      <c r="C25" s="277"/>
      <c r="D25" s="277"/>
      <c r="E25" s="277"/>
      <c r="F25" s="277"/>
      <c r="G25" s="277"/>
      <c r="H25" s="281">
        <f>+H23+H24</f>
        <v>3657773</v>
      </c>
      <c r="I25" s="282"/>
    </row>
    <row r="26" spans="2:9" x14ac:dyDescent="0.25">
      <c r="B26" s="276" t="s">
        <v>166</v>
      </c>
      <c r="C26" s="277"/>
      <c r="D26" s="277"/>
      <c r="E26" s="277"/>
      <c r="F26" s="277"/>
      <c r="G26" s="277"/>
      <c r="H26" s="281">
        <f>ROUND(H25*('Γενικά Δεδομένα'!$I$3),2)</f>
        <v>877865.52</v>
      </c>
      <c r="I26" s="282"/>
    </row>
    <row r="27" spans="2:9" x14ac:dyDescent="0.25">
      <c r="B27" s="276" t="s">
        <v>47</v>
      </c>
      <c r="C27" s="277"/>
      <c r="D27" s="277"/>
      <c r="E27" s="277"/>
      <c r="F27" s="277"/>
      <c r="G27" s="277"/>
      <c r="H27" s="281">
        <f>H25+H26</f>
        <v>4535638.5199999996</v>
      </c>
      <c r="I27" s="282"/>
    </row>
    <row r="28" spans="2:9" x14ac:dyDescent="0.25">
      <c r="B28" s="265"/>
      <c r="C28" s="266"/>
      <c r="D28" s="266"/>
      <c r="E28" s="266"/>
      <c r="F28" s="266"/>
      <c r="G28" s="266"/>
      <c r="H28" s="266"/>
      <c r="I28" s="267"/>
    </row>
    <row r="29" spans="2:9" x14ac:dyDescent="0.25">
      <c r="B29" s="273" t="s">
        <v>51</v>
      </c>
      <c r="C29" s="274"/>
      <c r="D29" s="274"/>
      <c r="E29" s="274"/>
      <c r="F29" s="274"/>
      <c r="G29" s="274"/>
      <c r="H29" s="274"/>
      <c r="I29" s="275"/>
    </row>
    <row r="30" spans="2:9" x14ac:dyDescent="0.25">
      <c r="B30" s="276" t="s">
        <v>52</v>
      </c>
      <c r="C30" s="277"/>
      <c r="D30" s="277"/>
      <c r="E30" s="277"/>
      <c r="F30" s="277"/>
      <c r="G30" s="277"/>
      <c r="H30" s="281">
        <f>+H5-H11</f>
        <v>944.38000000000011</v>
      </c>
      <c r="I30" s="282"/>
    </row>
    <row r="31" spans="2:9" ht="30.75" customHeight="1" x14ac:dyDescent="0.25">
      <c r="B31" s="276" t="s">
        <v>53</v>
      </c>
      <c r="C31" s="277"/>
      <c r="D31" s="277"/>
      <c r="E31" s="277"/>
      <c r="F31" s="277"/>
      <c r="G31" s="277"/>
      <c r="H31" s="281">
        <f>+H6-H12</f>
        <v>4101871.4499999993</v>
      </c>
      <c r="I31" s="282"/>
    </row>
    <row r="32" spans="2:9" x14ac:dyDescent="0.25">
      <c r="B32" s="276" t="s">
        <v>54</v>
      </c>
      <c r="C32" s="277"/>
      <c r="D32" s="277"/>
      <c r="E32" s="277"/>
      <c r="F32" s="277"/>
      <c r="G32" s="277"/>
      <c r="H32" s="281">
        <f>+H7-H13</f>
        <v>615280.72</v>
      </c>
      <c r="I32" s="282"/>
    </row>
    <row r="33" spans="2:9" x14ac:dyDescent="0.25">
      <c r="B33" s="265"/>
      <c r="C33" s="266"/>
      <c r="D33" s="266"/>
      <c r="E33" s="266"/>
      <c r="F33" s="266"/>
      <c r="G33" s="266"/>
      <c r="H33" s="266"/>
      <c r="I33" s="267"/>
    </row>
    <row r="34" spans="2:9" x14ac:dyDescent="0.25">
      <c r="B34" s="273" t="s">
        <v>130</v>
      </c>
      <c r="C34" s="274"/>
      <c r="D34" s="274"/>
      <c r="E34" s="274"/>
      <c r="F34" s="274"/>
      <c r="G34" s="274"/>
      <c r="H34" s="274"/>
      <c r="I34" s="275"/>
    </row>
    <row r="35" spans="2:9" x14ac:dyDescent="0.25">
      <c r="B35" s="283" t="s">
        <v>56</v>
      </c>
      <c r="C35" s="284"/>
      <c r="D35" s="284" t="s">
        <v>57</v>
      </c>
      <c r="E35" s="284"/>
      <c r="F35" s="284" t="s">
        <v>58</v>
      </c>
      <c r="G35" s="284"/>
      <c r="H35" s="284" t="s">
        <v>59</v>
      </c>
      <c r="I35" s="285"/>
    </row>
    <row r="36" spans="2:9" ht="15" customHeight="1" x14ac:dyDescent="0.25">
      <c r="B36" s="276" t="s">
        <v>19</v>
      </c>
      <c r="C36" s="277"/>
      <c r="D36" s="281">
        <f>ROUND('Γενικά Δεδομένα'!I18*SUM(Υπολογισμοί!$G$4:$G$63)/1000000,2)</f>
        <v>6471.18</v>
      </c>
      <c r="E36" s="281"/>
      <c r="F36" s="281">
        <f>ROUND('Γενικά Δεδομένα'!I18*SUM(Υπολογισμοί!$H$4:$H$63)/1000000,2)</f>
        <v>2414.4299999999998</v>
      </c>
      <c r="G36" s="281"/>
      <c r="H36" s="281">
        <f t="shared" ref="H36" si="0">+D36-F36</f>
        <v>4056.7500000000005</v>
      </c>
      <c r="I36" s="282"/>
    </row>
    <row r="37" spans="2:9" ht="14.45" customHeight="1" x14ac:dyDescent="0.25">
      <c r="B37" s="268" t="s">
        <v>124</v>
      </c>
      <c r="C37" s="269"/>
      <c r="D37" s="269"/>
      <c r="E37" s="269"/>
      <c r="F37" s="269"/>
      <c r="G37" s="269"/>
      <c r="H37" s="269"/>
      <c r="I37" s="59">
        <f>IF(D36=0,0,H36/D36)</f>
        <v>0.62689494033545667</v>
      </c>
    </row>
    <row r="38" spans="2:9" x14ac:dyDescent="0.25">
      <c r="B38" s="265"/>
      <c r="C38" s="266"/>
      <c r="D38" s="266"/>
      <c r="E38" s="266"/>
      <c r="F38" s="266"/>
      <c r="G38" s="266"/>
      <c r="H38" s="266"/>
      <c r="I38" s="267"/>
    </row>
    <row r="39" spans="2:9" x14ac:dyDescent="0.25">
      <c r="B39" s="276" t="s">
        <v>55</v>
      </c>
      <c r="C39" s="277"/>
      <c r="D39" s="277"/>
      <c r="E39" s="277"/>
      <c r="F39" s="277"/>
      <c r="G39" s="277"/>
      <c r="H39" s="281">
        <f>+H27+H20</f>
        <v>4535638.5199999996</v>
      </c>
      <c r="I39" s="282"/>
    </row>
    <row r="40" spans="2:9" ht="15" customHeight="1" x14ac:dyDescent="0.25">
      <c r="B40" s="265"/>
      <c r="C40" s="266"/>
      <c r="D40" s="266"/>
      <c r="E40" s="266"/>
      <c r="F40" s="266"/>
      <c r="G40" s="266"/>
      <c r="H40" s="266"/>
      <c r="I40" s="267"/>
    </row>
    <row r="41" spans="2:9" x14ac:dyDescent="0.25">
      <c r="B41" s="273" t="s">
        <v>131</v>
      </c>
      <c r="C41" s="274"/>
      <c r="D41" s="274"/>
      <c r="E41" s="274"/>
      <c r="F41" s="274"/>
      <c r="G41" s="274"/>
      <c r="H41" s="274"/>
      <c r="I41" s="275"/>
    </row>
    <row r="42" spans="2:9" ht="14.45" customHeight="1" x14ac:dyDescent="0.25">
      <c r="B42" s="276" t="s">
        <v>88</v>
      </c>
      <c r="C42" s="277"/>
      <c r="D42" s="277"/>
      <c r="E42" s="277"/>
      <c r="F42" s="277"/>
      <c r="G42" s="277"/>
      <c r="H42" s="278" t="str">
        <f>IF(ISERROR(AVERAGE(Οικονομικότητα!O7:O20)),"Μη Διαθέσιμη Τιμή",AVERAGE(Οικονομικότητα!O7:O20))</f>
        <v>Μη Διαθέσιμη Τιμή</v>
      </c>
      <c r="I42" s="279"/>
    </row>
    <row r="43" spans="2:9" x14ac:dyDescent="0.25">
      <c r="B43" s="276" t="s">
        <v>297</v>
      </c>
      <c r="C43" s="277"/>
      <c r="D43" s="277"/>
      <c r="E43" s="277"/>
      <c r="F43" s="277"/>
      <c r="G43" s="277"/>
      <c r="H43" s="278">
        <f>Οικονομικότητα!H24</f>
        <v>140.49211342303931</v>
      </c>
      <c r="I43" s="280"/>
    </row>
    <row r="44" spans="2:9" x14ac:dyDescent="0.25">
      <c r="B44" s="265"/>
      <c r="C44" s="266"/>
      <c r="D44" s="266"/>
      <c r="E44" s="266"/>
      <c r="F44" s="266"/>
      <c r="G44" s="266"/>
      <c r="H44" s="266"/>
      <c r="I44" s="267"/>
    </row>
    <row r="45" spans="2:9" x14ac:dyDescent="0.25">
      <c r="B45" s="265"/>
      <c r="C45" s="266"/>
      <c r="D45" s="266"/>
      <c r="E45" s="266"/>
      <c r="F45" s="266"/>
      <c r="G45" s="266"/>
      <c r="H45" s="266"/>
      <c r="I45" s="267"/>
    </row>
    <row r="46" spans="2:9" ht="15.75" thickBot="1" x14ac:dyDescent="0.3">
      <c r="B46" s="270"/>
      <c r="C46" s="271"/>
      <c r="D46" s="271"/>
      <c r="E46" s="271"/>
      <c r="F46" s="271"/>
      <c r="G46" s="271"/>
      <c r="H46" s="271"/>
      <c r="I46" s="272"/>
    </row>
  </sheetData>
  <sheetProtection algorithmName="SHA-512" hashValue="uIXGfN9qbH9CjjBwIhmwH7wnyHOV2TF9WJhaGXn5WgXHF0zSMWFIHYKpYsUHFEGxYyw0cxs6tt/Sb4wWyeF5Og==" saltValue="G7m2WOycu7izRhfJRwBaVQ==" spinCount="100000" sheet="1" objects="1" scenarios="1"/>
  <dataConsolidate/>
  <mergeCells count="73">
    <mergeCell ref="B2:I2"/>
    <mergeCell ref="H17:I17"/>
    <mergeCell ref="H18:I18"/>
    <mergeCell ref="H19:I19"/>
    <mergeCell ref="H23:I23"/>
    <mergeCell ref="B23:G23"/>
    <mergeCell ref="H16:I16"/>
    <mergeCell ref="B16:G16"/>
    <mergeCell ref="B10:G10"/>
    <mergeCell ref="B11:G11"/>
    <mergeCell ref="H4:I4"/>
    <mergeCell ref="B4:G4"/>
    <mergeCell ref="H10:I10"/>
    <mergeCell ref="B17:G17"/>
    <mergeCell ref="B18:G18"/>
    <mergeCell ref="B20:G20"/>
    <mergeCell ref="B15:I15"/>
    <mergeCell ref="B22:I22"/>
    <mergeCell ref="H20:I20"/>
    <mergeCell ref="B28:I28"/>
    <mergeCell ref="B19:G19"/>
    <mergeCell ref="H24:I24"/>
    <mergeCell ref="H25:I25"/>
    <mergeCell ref="B24:G24"/>
    <mergeCell ref="B25:G25"/>
    <mergeCell ref="B27:G27"/>
    <mergeCell ref="H27:I27"/>
    <mergeCell ref="B26:G26"/>
    <mergeCell ref="H26:I26"/>
    <mergeCell ref="B31:G31"/>
    <mergeCell ref="H30:I30"/>
    <mergeCell ref="H31:I31"/>
    <mergeCell ref="B30:G30"/>
    <mergeCell ref="B29:I29"/>
    <mergeCell ref="B3:I3"/>
    <mergeCell ref="B9:I9"/>
    <mergeCell ref="B8:I8"/>
    <mergeCell ref="B14:I14"/>
    <mergeCell ref="B21:I21"/>
    <mergeCell ref="H5:I5"/>
    <mergeCell ref="H6:I6"/>
    <mergeCell ref="H7:I7"/>
    <mergeCell ref="B5:G5"/>
    <mergeCell ref="B6:G6"/>
    <mergeCell ref="B7:G7"/>
    <mergeCell ref="B12:G12"/>
    <mergeCell ref="H11:I11"/>
    <mergeCell ref="H12:I12"/>
    <mergeCell ref="H13:I13"/>
    <mergeCell ref="B13:G13"/>
    <mergeCell ref="B33:I33"/>
    <mergeCell ref="B34:I34"/>
    <mergeCell ref="D36:E36"/>
    <mergeCell ref="B32:G32"/>
    <mergeCell ref="B39:G39"/>
    <mergeCell ref="B36:C36"/>
    <mergeCell ref="H36:I36"/>
    <mergeCell ref="B35:C35"/>
    <mergeCell ref="D35:E35"/>
    <mergeCell ref="F35:G35"/>
    <mergeCell ref="H35:I35"/>
    <mergeCell ref="F36:G36"/>
    <mergeCell ref="H32:I32"/>
    <mergeCell ref="B38:I38"/>
    <mergeCell ref="B40:I40"/>
    <mergeCell ref="B37:H37"/>
    <mergeCell ref="B44:I46"/>
    <mergeCell ref="B41:I41"/>
    <mergeCell ref="B42:G42"/>
    <mergeCell ref="H42:I42"/>
    <mergeCell ref="B43:G43"/>
    <mergeCell ref="H43:I43"/>
    <mergeCell ref="H39:I39"/>
  </mergeCells>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63"/>
  <sheetViews>
    <sheetView zoomScale="115" zoomScaleNormal="115" zoomScalePageLayoutView="85" workbookViewId="0">
      <selection activeCell="I9" sqref="I9"/>
    </sheetView>
  </sheetViews>
  <sheetFormatPr defaultRowHeight="15" x14ac:dyDescent="0.25"/>
  <cols>
    <col min="1" max="1" width="0.5703125" customWidth="1"/>
    <col min="2" max="2" width="3.7109375" bestFit="1" customWidth="1"/>
    <col min="3" max="4" width="15.28515625" customWidth="1"/>
    <col min="5" max="5" width="10.140625" customWidth="1"/>
    <col min="6" max="6" width="10.7109375" customWidth="1"/>
    <col min="7" max="7" width="11.140625" customWidth="1"/>
    <col min="8" max="8" width="10.85546875" customWidth="1"/>
    <col min="9" max="9" width="13.140625" customWidth="1"/>
    <col min="10" max="10" width="11" customWidth="1"/>
    <col min="11" max="11" width="9.7109375" customWidth="1"/>
    <col min="12" max="12" width="9.85546875" bestFit="1" customWidth="1"/>
    <col min="14" max="14" width="0.7109375" customWidth="1"/>
    <col min="16" max="16" width="12.140625" bestFit="1" customWidth="1"/>
  </cols>
  <sheetData>
    <row r="1" spans="2:17" ht="15.75" thickBot="1" x14ac:dyDescent="0.3"/>
    <row r="2" spans="2:17" ht="15.75" x14ac:dyDescent="0.25">
      <c r="B2" s="293" t="s">
        <v>87</v>
      </c>
      <c r="C2" s="294"/>
      <c r="D2" s="294"/>
      <c r="E2" s="294"/>
      <c r="F2" s="294"/>
      <c r="G2" s="294"/>
      <c r="H2" s="294"/>
      <c r="I2" s="294"/>
      <c r="J2" s="294"/>
      <c r="K2" s="294"/>
      <c r="L2" s="294"/>
      <c r="M2" s="295"/>
    </row>
    <row r="3" spans="2:17" ht="48" customHeight="1" x14ac:dyDescent="0.25">
      <c r="B3" s="10" t="s">
        <v>18</v>
      </c>
      <c r="C3" s="4" t="s">
        <v>28</v>
      </c>
      <c r="D3" s="4" t="s">
        <v>29</v>
      </c>
      <c r="E3" s="4" t="s">
        <v>39</v>
      </c>
      <c r="F3" s="4" t="s">
        <v>40</v>
      </c>
      <c r="G3" s="4" t="s">
        <v>41</v>
      </c>
      <c r="H3" s="4" t="s">
        <v>42</v>
      </c>
      <c r="I3" s="4" t="s">
        <v>43</v>
      </c>
      <c r="J3" s="4" t="s">
        <v>38</v>
      </c>
      <c r="K3" s="5" t="s">
        <v>82</v>
      </c>
      <c r="L3" s="5" t="s">
        <v>83</v>
      </c>
      <c r="M3" s="11"/>
    </row>
    <row r="4" spans="2:17" ht="30" customHeight="1" x14ac:dyDescent="0.25">
      <c r="B4" s="12">
        <f>IF('Συμβατικά ΦΣ'!B4&lt;&gt;"",'Συμβατικά ΦΣ'!B4,"")</f>
        <v>1</v>
      </c>
      <c r="C4" s="1" t="str">
        <f>IF(B4&lt;&gt;"",'Νέα ΦΣ'!C4,"")</f>
        <v>Na250W-1 -287,5W</v>
      </c>
      <c r="D4" s="1" t="str">
        <f>IF(B4&lt;&gt;"",Βραχίονες!D4,"")</f>
        <v>LED110-150-1 -125,45W</v>
      </c>
      <c r="E4" s="3">
        <f>IF(B4&lt;&gt;"",ROUND('Συμβατικά ΦΣ'!H4*'Συμβατικά ΦΣ'!J4,2),"")</f>
        <v>684250</v>
      </c>
      <c r="F4" s="3">
        <f>IF(B4&lt;&gt;"",ROUND('Νέα ΦΣ'!I4*'Νέα ΦΣ'!M4,2),"")</f>
        <v>298571</v>
      </c>
      <c r="G4" s="3">
        <f>IF(B4&lt;&gt;"",ROUND('Συμβατικά ΦΣ'!L4*'Συμβατικά ΦΣ'!J4*'Γενικά Δεδομένα'!$I$6*365/1000,2),"")</f>
        <v>2972039.88</v>
      </c>
      <c r="H4" s="3">
        <f>IF(B4&lt;&gt;"",IF('Νέα ΦΣ'!O4="ΝΑΙ",ROUND(0.85*F4*'Γενικά Δεδομένα'!$I$6*365/1000,2),ROUND(F4*'Γενικά Δεδομένα'!$I$6*365/1000,2)),"")</f>
        <v>1296843.1399999999</v>
      </c>
      <c r="I4" s="2">
        <f>IF(B4&lt;&gt;"",ROUND('Συμβατικά ΦΣ'!H4*'Γενικά Δεδομένα'!$I$9,2),"")</f>
        <v>0</v>
      </c>
      <c r="J4" s="3">
        <f>IF(B4&lt;&gt;"",ROUND(('Νέα ΦΣ'!I4+'Νέα ΦΣ'!J4)*'Νέα ΦΣ'!N4,2),"")</f>
        <v>1932560</v>
      </c>
      <c r="K4" s="3">
        <f>IF(B4&lt;&gt;"",ROUND(Βραχίονες!F4*'Γενικά Δεδομένα'!$I$10,2),"")</f>
        <v>0</v>
      </c>
      <c r="L4" s="3">
        <f>IF(B4&lt;&gt;"",ROUND((Βραχίονες!F4+Βραχίονες!G4)*'Γενικά Δεδομένα'!$I$11,2),"")</f>
        <v>0</v>
      </c>
      <c r="M4" s="13"/>
      <c r="P4" s="6"/>
      <c r="Q4" s="6"/>
    </row>
    <row r="5" spans="2:17" ht="30" customHeight="1" x14ac:dyDescent="0.25">
      <c r="B5" s="12">
        <f>IF('Συμβατικά ΦΣ'!B5&lt;&gt;"",'Συμβατικά ΦΣ'!B5,"")</f>
        <v>2</v>
      </c>
      <c r="C5" s="1" t="str">
        <f>IF(B5&lt;&gt;"",'Νέα ΦΣ'!C5,"")</f>
        <v>Na250W-2 -287,5W</v>
      </c>
      <c r="D5" s="1" t="str">
        <f>IF(B5&lt;&gt;"",Βραχίονες!D5,"")</f>
        <v>LED80-110 -95,45W</v>
      </c>
      <c r="E5" s="3">
        <f>IF(B5&lt;&gt;"",ROUND('Συμβατικά ΦΣ'!H5*'Συμβατικά ΦΣ'!J5,2),"")</f>
        <v>700062.5</v>
      </c>
      <c r="F5" s="3">
        <f>IF(B5&lt;&gt;"",ROUND('Νέα ΦΣ'!I5*'Νέα ΦΣ'!M5,2),"")</f>
        <v>232420.75</v>
      </c>
      <c r="G5" s="3">
        <f>IF(B5&lt;&gt;"",ROUND('Συμβατικά ΦΣ'!L5*'Συμβατικά ΦΣ'!J5*'Γενικά Δεδομένα'!$I$6*365/1000,2),"")</f>
        <v>3040721.47</v>
      </c>
      <c r="H5" s="3">
        <f>IF(B5&lt;&gt;"",IF('Νέα ΦΣ'!O5="ΝΑΙ",ROUND(0.85*F5*'Γενικά Δεδομένα'!$I$6*365/1000,2),ROUND(F5*'Γενικά Δεδομένα'!$I$6*365/1000,2)),"")</f>
        <v>1009519.53</v>
      </c>
      <c r="I5" s="2">
        <f>IF(B5&lt;&gt;"",ROUND('Συμβατικά ΦΣ'!H5*'Γενικά Δεδομένα'!$I$9,2),"")</f>
        <v>0</v>
      </c>
      <c r="J5" s="3">
        <f>IF(B5&lt;&gt;"",ROUND(('Νέα ΦΣ'!I5+'Νέα ΦΣ'!J5)*'Νέα ΦΣ'!N5,2),"")</f>
        <v>1297855</v>
      </c>
      <c r="K5" s="3">
        <f>IF(B5&lt;&gt;"",ROUND(Βραχίονες!F5*'Γενικά Δεδομένα'!$I$10,2),"")</f>
        <v>0</v>
      </c>
      <c r="L5" s="3">
        <f>IF(B5&lt;&gt;"",ROUND((Βραχίονες!F5+Βραχίονες!G5)*'Γενικά Δεδομένα'!$I$11,2),"")</f>
        <v>194800</v>
      </c>
      <c r="M5" s="13"/>
    </row>
    <row r="6" spans="2:17" ht="30" customHeight="1" x14ac:dyDescent="0.25">
      <c r="B6" s="12">
        <f>IF('Συμβατικά ΦΣ'!B6&lt;&gt;"",'Συμβατικά ΦΣ'!B6,"")</f>
        <v>3</v>
      </c>
      <c r="C6" s="1" t="str">
        <f>IF(B6&lt;&gt;"",'Νέα ΦΣ'!C6,"")</f>
        <v>Na250W-3 -287,5W</v>
      </c>
      <c r="D6" s="1" t="str">
        <f>IF(B6&lt;&gt;"",Βραχίονες!D6,"")</f>
        <v>LED50-80 -76,19W</v>
      </c>
      <c r="E6" s="3">
        <f>IF(B6&lt;&gt;"",ROUND('Συμβατικά ΦΣ'!H6*'Συμβατικά ΦΣ'!J6,2),"")</f>
        <v>110112.5</v>
      </c>
      <c r="F6" s="3">
        <f>IF(B6&lt;&gt;"",ROUND('Νέα ΦΣ'!I6*'Νέα ΦΣ'!M6,2),"")</f>
        <v>29180.77</v>
      </c>
      <c r="G6" s="3">
        <f>IF(B6&lt;&gt;"",ROUND('Συμβατικά ΦΣ'!L6*'Συμβατικά ΦΣ'!J6*'Γενικά Δεδομένα'!$I$6*365/1000,2),"")</f>
        <v>478273.64</v>
      </c>
      <c r="H6" s="3">
        <f>IF(B6&lt;&gt;"",IF('Νέα ΦΣ'!O6="ΝΑΙ",ROUND(0.85*F6*'Γενικά Δεδομένα'!$I$6*365/1000,2),ROUND(F6*'Γενικά Δεδομένα'!$I$6*365/1000,2)),"")</f>
        <v>126746.67</v>
      </c>
      <c r="I6" s="2">
        <f>IF(B6&lt;&gt;"",ROUND('Συμβατικά ΦΣ'!H6*'Γενικά Δεδομένα'!$I$9,2),"")</f>
        <v>0</v>
      </c>
      <c r="J6" s="3">
        <f>IF(B6&lt;&gt;"",ROUND(('Νέα ΦΣ'!I6+'Νέα ΦΣ'!J6)*'Νέα ΦΣ'!N6,2),"")</f>
        <v>193798</v>
      </c>
      <c r="K6" s="3">
        <f>IF(B6&lt;&gt;"",ROUND(Βραχίονες!F6*'Γενικά Δεδομένα'!$I$10,2),"")</f>
        <v>0</v>
      </c>
      <c r="L6" s="3">
        <f>IF(B6&lt;&gt;"",ROUND((Βραχίονες!F6+Βραχίονες!G6)*'Γενικά Δεδομένα'!$I$11,2),"")</f>
        <v>30640</v>
      </c>
      <c r="M6" s="13"/>
    </row>
    <row r="7" spans="2:17" ht="30" customHeight="1" x14ac:dyDescent="0.25">
      <c r="B7" s="12">
        <f>IF('Συμβατικά ΦΣ'!B7&lt;&gt;"",'Συμβατικά ΦΣ'!B7,"")</f>
        <v>4</v>
      </c>
      <c r="C7" s="1" t="str">
        <f>IF(B7&lt;&gt;"",'Νέα ΦΣ'!C7,"")</f>
        <v>FLL1000W -1200W</v>
      </c>
      <c r="D7" s="1" t="str">
        <f>IF(B7&lt;&gt;"",Βραχίονες!D7,"")</f>
        <v>LEDFLL150-200W -188,24W</v>
      </c>
      <c r="E7" s="3">
        <f>IF(B7&lt;&gt;"",ROUND('Συμβατικά ΦΣ'!H7*'Συμβατικά ΦΣ'!J7,2),"")</f>
        <v>12000</v>
      </c>
      <c r="F7" s="3">
        <f>IF(B7&lt;&gt;"",ROUND('Νέα ΦΣ'!I7*'Νέα ΦΣ'!M7,2),"")</f>
        <v>1882.4</v>
      </c>
      <c r="G7" s="3">
        <f>IF(B7&lt;&gt;"",ROUND('Συμβατικά ΦΣ'!L7*'Συμβατικά ΦΣ'!J7*'Γενικά Δεδομένα'!$I$6*365/1000,2),"")</f>
        <v>52122</v>
      </c>
      <c r="H7" s="3">
        <f>IF(B7&lt;&gt;"",IF('Νέα ΦΣ'!O7="ΝΑΙ",ROUND(0.85*F7*'Γενικά Δεδομένα'!$I$6*365/1000,2),ROUND(F7*'Γενικά Δεδομένα'!$I$6*365/1000,2)),"")</f>
        <v>8176.2</v>
      </c>
      <c r="I7" s="2">
        <f>IF(B7&lt;&gt;"",ROUND('Συμβατικά ΦΣ'!H7*'Γενικά Δεδομένα'!$I$9,2),"")</f>
        <v>0</v>
      </c>
      <c r="J7" s="3">
        <f>IF(B7&lt;&gt;"",ROUND(('Νέα ΦΣ'!I7+'Νέα ΦΣ'!J7)*'Νέα ΦΣ'!N7,2),"")</f>
        <v>8120</v>
      </c>
      <c r="K7" s="3">
        <f>IF(B7&lt;&gt;"",ROUND(Βραχίονες!F7*'Γενικά Δεδομένα'!$I$10,2),"")</f>
        <v>0</v>
      </c>
      <c r="L7" s="3">
        <f>IF(B7&lt;&gt;"",ROUND((Βραχίονες!F7+Βραχίονες!G7)*'Γενικά Δεδομένα'!$I$11,2),"")</f>
        <v>0</v>
      </c>
      <c r="M7" s="13"/>
    </row>
    <row r="8" spans="2:17" ht="30" customHeight="1" x14ac:dyDescent="0.25">
      <c r="B8" s="12"/>
      <c r="C8" s="1"/>
      <c r="D8" s="1"/>
      <c r="E8" s="3"/>
      <c r="F8" s="3"/>
      <c r="G8" s="3"/>
      <c r="H8" s="3"/>
      <c r="I8" s="2"/>
      <c r="J8" s="3"/>
      <c r="K8" s="3"/>
      <c r="L8" s="3"/>
      <c r="M8" s="13"/>
    </row>
    <row r="9" spans="2:17" ht="30" customHeight="1" x14ac:dyDescent="0.25">
      <c r="B9" s="12" t="str">
        <f>IF('Συμβατικά ΦΣ'!B8&lt;&gt;"",'Συμβατικά ΦΣ'!B8,"")</f>
        <v/>
      </c>
      <c r="C9" s="1" t="str">
        <f>IF(B9&lt;&gt;"",'Νέα ΦΣ'!C9,"")</f>
        <v/>
      </c>
      <c r="D9" s="1" t="str">
        <f>IF(B9&lt;&gt;"",Βραχίονες!D9,"")</f>
        <v/>
      </c>
      <c r="E9" s="3" t="str">
        <f>IF(B9&lt;&gt;"",ROUND('Συμβατικά ΦΣ'!H8*'Συμβατικά ΦΣ'!J8,2),"")</f>
        <v/>
      </c>
      <c r="F9" s="3" t="str">
        <f>IF(B9&lt;&gt;"",ROUND('Νέα ΦΣ'!I9*'Νέα ΦΣ'!M9,2),"")</f>
        <v/>
      </c>
      <c r="G9" s="3" t="str">
        <f>IF(B9&lt;&gt;"",ROUND('Συμβατικά ΦΣ'!L8*'Συμβατικά ΦΣ'!J8*'Γενικά Δεδομένα'!$I$6*365/1000,2),"")</f>
        <v/>
      </c>
      <c r="H9" s="3" t="str">
        <f>IF(B9&lt;&gt;"",IF('Νέα ΦΣ'!O9="ΝΑΙ",ROUND(0.85*F9*'Γενικά Δεδομένα'!$I$6*365/1000,2),ROUND(F9*'Γενικά Δεδομένα'!$I$6*365/1000,2)),"")</f>
        <v/>
      </c>
      <c r="I9" s="2" t="str">
        <f>IF(B9&lt;&gt;"",ROUND('Συμβατικά ΦΣ'!H8*'Γενικά Δεδομένα'!$I$9,2),"")</f>
        <v/>
      </c>
      <c r="J9" s="3" t="str">
        <f>IF(B9&lt;&gt;"",ROUND(('Νέα ΦΣ'!I9+'Νέα ΦΣ'!J9)*'Νέα ΦΣ'!N9,2),"")</f>
        <v/>
      </c>
      <c r="K9" s="3" t="str">
        <f>IF(B9&lt;&gt;"",ROUND(Βραχίονες!F9*'Γενικά Δεδομένα'!$I$10,2),"")</f>
        <v/>
      </c>
      <c r="L9" s="3" t="str">
        <f>IF(B9&lt;&gt;"",ROUND((Βραχίονες!F9+Βραχίονες!G9)*'Γενικά Δεδομένα'!$I$11,2),"")</f>
        <v/>
      </c>
      <c r="M9" s="13"/>
    </row>
    <row r="10" spans="2:17" ht="30" customHeight="1" x14ac:dyDescent="0.25">
      <c r="B10" s="12" t="str">
        <f>IF('Συμβατικά ΦΣ'!B9&lt;&gt;"",'Συμβατικά ΦΣ'!B9,"")</f>
        <v/>
      </c>
      <c r="C10" s="1" t="str">
        <f>IF(B10&lt;&gt;"",'Νέα ΦΣ'!C10,"")</f>
        <v/>
      </c>
      <c r="D10" s="1" t="str">
        <f>IF(B10&lt;&gt;"",Βραχίονες!D10,"")</f>
        <v/>
      </c>
      <c r="E10" s="3" t="str">
        <f>IF(B10&lt;&gt;"",ROUND('Συμβατικά ΦΣ'!H9*'Συμβατικά ΦΣ'!J9,2),"")</f>
        <v/>
      </c>
      <c r="F10" s="3" t="str">
        <f>IF(B10&lt;&gt;"",ROUND('Νέα ΦΣ'!I10*'Νέα ΦΣ'!M10,2),"")</f>
        <v/>
      </c>
      <c r="G10" s="3" t="str">
        <f>IF(B10&lt;&gt;"",ROUND('Συμβατικά ΦΣ'!L9*'Συμβατικά ΦΣ'!J9*'Γενικά Δεδομένα'!$I$6*365/1000,2),"")</f>
        <v/>
      </c>
      <c r="H10" s="3" t="str">
        <f>IF(B10&lt;&gt;"",IF('Νέα ΦΣ'!O10="ΝΑΙ",ROUND(0.85*F10*'Γενικά Δεδομένα'!$I$6*365/1000,2),ROUND(F10*'Γενικά Δεδομένα'!$I$6*365/1000,2)),"")</f>
        <v/>
      </c>
      <c r="I10" s="2" t="str">
        <f>IF(B10&lt;&gt;"",ROUND('Συμβατικά ΦΣ'!H9*'Γενικά Δεδομένα'!$I$9,2),"")</f>
        <v/>
      </c>
      <c r="J10" s="3" t="str">
        <f>IF(B10&lt;&gt;"",ROUND(('Νέα ΦΣ'!I10+'Νέα ΦΣ'!J10)*'Νέα ΦΣ'!N10,2),"")</f>
        <v/>
      </c>
      <c r="K10" s="3" t="str">
        <f>IF(B10&lt;&gt;"",ROUND(Βραχίονες!F10*'Γενικά Δεδομένα'!$I$10,2),"")</f>
        <v/>
      </c>
      <c r="L10" s="3" t="str">
        <f>IF(B10&lt;&gt;"",ROUND((Βραχίονες!F10+Βραχίονες!G10)*'Γενικά Δεδομένα'!$I$11,2),"")</f>
        <v/>
      </c>
      <c r="M10" s="13"/>
    </row>
    <row r="11" spans="2:17" ht="30" customHeight="1" x14ac:dyDescent="0.25">
      <c r="B11" s="12" t="str">
        <f>IF('Συμβατικά ΦΣ'!B10&lt;&gt;"",'Συμβατικά ΦΣ'!B10,"")</f>
        <v/>
      </c>
      <c r="C11" s="1" t="str">
        <f>IF(B11&lt;&gt;"",'Νέα ΦΣ'!C11,"")</f>
        <v/>
      </c>
      <c r="D11" s="1" t="str">
        <f>IF(B11&lt;&gt;"",Βραχίονες!D11,"")</f>
        <v/>
      </c>
      <c r="E11" s="3" t="str">
        <f>IF(B11&lt;&gt;"",ROUND('Συμβατικά ΦΣ'!H10*'Συμβατικά ΦΣ'!J10,2),"")</f>
        <v/>
      </c>
      <c r="F11" s="3" t="str">
        <f>IF(B11&lt;&gt;"",ROUND('Νέα ΦΣ'!I11*'Νέα ΦΣ'!M11,2),"")</f>
        <v/>
      </c>
      <c r="G11" s="3" t="str">
        <f>IF(B11&lt;&gt;"",ROUND('Συμβατικά ΦΣ'!L10*'Συμβατικά ΦΣ'!J10*'Γενικά Δεδομένα'!$I$6*365/1000,2),"")</f>
        <v/>
      </c>
      <c r="H11" s="3" t="str">
        <f>IF(B11&lt;&gt;"",IF('Νέα ΦΣ'!O11="ΝΑΙ",ROUND(0.85*F11*'Γενικά Δεδομένα'!$I$6*365/1000,2),ROUND(F11*'Γενικά Δεδομένα'!$I$6*365/1000,2)),"")</f>
        <v/>
      </c>
      <c r="I11" s="2" t="str">
        <f>IF(B11&lt;&gt;"",ROUND('Συμβατικά ΦΣ'!H10*'Γενικά Δεδομένα'!$I$9,2),"")</f>
        <v/>
      </c>
      <c r="J11" s="3" t="str">
        <f>IF(B11&lt;&gt;"",ROUND(('Νέα ΦΣ'!I11+'Νέα ΦΣ'!J11)*'Νέα ΦΣ'!N11,2),"")</f>
        <v/>
      </c>
      <c r="K11" s="3" t="str">
        <f>IF(B11&lt;&gt;"",ROUND(Βραχίονες!F11*'Γενικά Δεδομένα'!$I$10,2),"")</f>
        <v/>
      </c>
      <c r="L11" s="3" t="str">
        <f>IF(B11&lt;&gt;"",ROUND((Βραχίονες!F11+Βραχίονες!G11)*'Γενικά Δεδομένα'!$I$11,2),"")</f>
        <v/>
      </c>
      <c r="M11" s="13"/>
    </row>
    <row r="12" spans="2:17" ht="30" customHeight="1" x14ac:dyDescent="0.25">
      <c r="B12" s="12"/>
      <c r="C12" s="1"/>
      <c r="D12" s="1"/>
      <c r="E12" s="3"/>
      <c r="F12" s="3"/>
      <c r="G12" s="3"/>
      <c r="H12" s="3"/>
      <c r="I12" s="2"/>
      <c r="J12" s="3"/>
      <c r="K12" s="3"/>
      <c r="L12" s="3"/>
      <c r="M12" s="13"/>
    </row>
    <row r="13" spans="2:17" ht="30" customHeight="1" x14ac:dyDescent="0.25">
      <c r="B13" s="12"/>
      <c r="C13" s="1"/>
      <c r="D13" s="1"/>
      <c r="E13" s="3"/>
      <c r="F13" s="3"/>
      <c r="G13" s="3"/>
      <c r="H13" s="3"/>
      <c r="I13" s="2"/>
      <c r="J13" s="3"/>
      <c r="K13" s="3"/>
      <c r="L13" s="3"/>
      <c r="M13" s="13"/>
    </row>
    <row r="14" spans="2:17" ht="30" customHeight="1" x14ac:dyDescent="0.25">
      <c r="B14" s="12"/>
      <c r="C14" s="1"/>
      <c r="D14" s="1"/>
      <c r="E14" s="3"/>
      <c r="F14" s="3"/>
      <c r="G14" s="3"/>
      <c r="H14" s="3"/>
      <c r="I14" s="2"/>
      <c r="J14" s="3"/>
      <c r="K14" s="3"/>
      <c r="L14" s="3"/>
      <c r="M14" s="13"/>
    </row>
    <row r="15" spans="2:17" ht="30" customHeight="1" x14ac:dyDescent="0.25">
      <c r="B15" s="12" t="str">
        <f>IF('Συμβατικά ΦΣ'!B11&lt;&gt;"",'Συμβατικά ΦΣ'!B11,"")</f>
        <v/>
      </c>
      <c r="C15" s="1" t="str">
        <f>IF(B15&lt;&gt;"",'Νέα ΦΣ'!C12,"")</f>
        <v/>
      </c>
      <c r="D15" s="1" t="str">
        <f>IF(B15&lt;&gt;"",Βραχίονες!D15,"")</f>
        <v/>
      </c>
      <c r="E15" s="3" t="str">
        <f>IF(B15&lt;&gt;"",ROUND('Συμβατικά ΦΣ'!H11*'Συμβατικά ΦΣ'!J11,2),"")</f>
        <v/>
      </c>
      <c r="F15" s="3" t="str">
        <f>IF(B15&lt;&gt;"",ROUND('Νέα ΦΣ'!I12*'Νέα ΦΣ'!M12,2),"")</f>
        <v/>
      </c>
      <c r="G15" s="3" t="str">
        <f>IF(B15&lt;&gt;"",ROUND('Συμβατικά ΦΣ'!L11*'Συμβατικά ΦΣ'!J11*'Γενικά Δεδομένα'!$I$6*365/1000,2),"")</f>
        <v/>
      </c>
      <c r="H15" s="3" t="str">
        <f>IF(B15&lt;&gt;"",IF('Νέα ΦΣ'!O12="ΝΑΙ",ROUND(0.85*F15*'Γενικά Δεδομένα'!$I$6*365/1000,2),ROUND(F15*'Γενικά Δεδομένα'!$I$6*365/1000,2)),"")</f>
        <v/>
      </c>
      <c r="I15" s="2" t="str">
        <f>IF(B15&lt;&gt;"",ROUND('Συμβατικά ΦΣ'!H11*'Γενικά Δεδομένα'!$I$9,2),"")</f>
        <v/>
      </c>
      <c r="J15" s="3" t="str">
        <f>IF(B15&lt;&gt;"",ROUND(('Νέα ΦΣ'!I12+'Νέα ΦΣ'!J12)*'Νέα ΦΣ'!N12,2),"")</f>
        <v/>
      </c>
      <c r="K15" s="3" t="str">
        <f>IF(B15&lt;&gt;"",ROUND(Βραχίονες!F15*'Γενικά Δεδομένα'!$I$10,2),"")</f>
        <v/>
      </c>
      <c r="L15" s="3" t="str">
        <f>IF(B15&lt;&gt;"",ROUND((Βραχίονες!F15+Βραχίονες!G15)*'Γενικά Δεδομένα'!$I$11,2),"")</f>
        <v/>
      </c>
      <c r="M15" s="13"/>
    </row>
    <row r="16" spans="2:17" ht="30" customHeight="1" x14ac:dyDescent="0.25">
      <c r="B16" s="12" t="str">
        <f>IF('Συμβατικά ΦΣ'!B12&lt;&gt;"",'Συμβατικά ΦΣ'!B12,"")</f>
        <v/>
      </c>
      <c r="C16" s="1" t="str">
        <f>IF(B16&lt;&gt;"",'Νέα ΦΣ'!C13,"")</f>
        <v/>
      </c>
      <c r="D16" s="1" t="str">
        <f>IF(B16&lt;&gt;"",Βραχίονες!D16,"")</f>
        <v/>
      </c>
      <c r="E16" s="3" t="str">
        <f>IF(B16&lt;&gt;"",ROUND('Συμβατικά ΦΣ'!H12*'Συμβατικά ΦΣ'!J12,2),"")</f>
        <v/>
      </c>
      <c r="F16" s="3" t="str">
        <f>IF(B16&lt;&gt;"",ROUND('Νέα ΦΣ'!I13*'Νέα ΦΣ'!M13,2),"")</f>
        <v/>
      </c>
      <c r="G16" s="3" t="str">
        <f>IF(B16&lt;&gt;"",ROUND('Συμβατικά ΦΣ'!L12*'Συμβατικά ΦΣ'!J12*'Γενικά Δεδομένα'!$I$6*365/1000,2),"")</f>
        <v/>
      </c>
      <c r="H16" s="3" t="str">
        <f>IF(B16&lt;&gt;"",IF('Νέα ΦΣ'!O13="ΝΑΙ",ROUND(0.85*F16*'Γενικά Δεδομένα'!$I$6*365/1000,2),ROUND(F16*'Γενικά Δεδομένα'!$I$6*365/1000,2)),"")</f>
        <v/>
      </c>
      <c r="I16" s="2" t="str">
        <f>IF(B16&lt;&gt;"",ROUND('Συμβατικά ΦΣ'!H12*'Γενικά Δεδομένα'!$I$9,2),"")</f>
        <v/>
      </c>
      <c r="J16" s="3" t="str">
        <f>IF(B16&lt;&gt;"",ROUND(('Νέα ΦΣ'!I13+'Νέα ΦΣ'!J13)*'Νέα ΦΣ'!N13,2),"")</f>
        <v/>
      </c>
      <c r="K16" s="3" t="str">
        <f>IF(B16&lt;&gt;"",ROUND(Βραχίονες!F16*'Γενικά Δεδομένα'!$I$10,2),"")</f>
        <v/>
      </c>
      <c r="L16" s="3" t="str">
        <f>IF(B16&lt;&gt;"",ROUND((Βραχίονες!F16+Βραχίονες!G16)*'Γενικά Δεδομένα'!$I$11,2),"")</f>
        <v/>
      </c>
      <c r="M16" s="13"/>
    </row>
    <row r="17" spans="2:13" ht="30" customHeight="1" x14ac:dyDescent="0.25">
      <c r="B17" s="12" t="str">
        <f>IF('Συμβατικά ΦΣ'!B13&lt;&gt;"",'Συμβατικά ΦΣ'!B13,"")</f>
        <v/>
      </c>
      <c r="C17" s="1" t="str">
        <f>IF(B17&lt;&gt;"",'Νέα ΦΣ'!C14,"")</f>
        <v/>
      </c>
      <c r="D17" s="1" t="str">
        <f>IF(B17&lt;&gt;"",Βραχίονες!D17,"")</f>
        <v/>
      </c>
      <c r="E17" s="3" t="str">
        <f>IF(B17&lt;&gt;"",ROUND('Συμβατικά ΦΣ'!H13*'Συμβατικά ΦΣ'!J13,2),"")</f>
        <v/>
      </c>
      <c r="F17" s="3" t="str">
        <f>IF(B17&lt;&gt;"",ROUND('Νέα ΦΣ'!I14*'Νέα ΦΣ'!M14,2),"")</f>
        <v/>
      </c>
      <c r="G17" s="3" t="str">
        <f>IF(B17&lt;&gt;"",ROUND('Συμβατικά ΦΣ'!L13*'Συμβατικά ΦΣ'!J13*'Γενικά Δεδομένα'!$I$6*365/1000,2),"")</f>
        <v/>
      </c>
      <c r="H17" s="3" t="str">
        <f>IF(B17&lt;&gt;"",IF('Νέα ΦΣ'!O14="ΝΑΙ",ROUND(0.85*F17*'Γενικά Δεδομένα'!$I$6*365/1000,2),ROUND(F17*'Γενικά Δεδομένα'!$I$6*365/1000,2)),"")</f>
        <v/>
      </c>
      <c r="I17" s="2" t="str">
        <f>IF(B17&lt;&gt;"",ROUND('Συμβατικά ΦΣ'!H13*'Γενικά Δεδομένα'!$I$9,2),"")</f>
        <v/>
      </c>
      <c r="J17" s="3" t="str">
        <f>IF(B17&lt;&gt;"",ROUND(('Νέα ΦΣ'!I14+'Νέα ΦΣ'!J14)*'Νέα ΦΣ'!N14,2),"")</f>
        <v/>
      </c>
      <c r="K17" s="3" t="str">
        <f>IF(B17&lt;&gt;"",ROUND(Βραχίονες!F17*'Γενικά Δεδομένα'!$I$10,2),"")</f>
        <v/>
      </c>
      <c r="L17" s="3" t="str">
        <f>IF(B17&lt;&gt;"",ROUND((Βραχίονες!F17+Βραχίονες!G17)*'Γενικά Δεδομένα'!$I$11,2),"")</f>
        <v/>
      </c>
      <c r="M17" s="13"/>
    </row>
    <row r="18" spans="2:13" ht="30" customHeight="1" x14ac:dyDescent="0.25">
      <c r="B18" s="12" t="str">
        <f>IF('Συμβατικά ΦΣ'!B14&lt;&gt;"",'Συμβατικά ΦΣ'!B14,"")</f>
        <v/>
      </c>
      <c r="C18" s="1" t="str">
        <f>IF(B18&lt;&gt;"",'Νέα ΦΣ'!C15,"")</f>
        <v/>
      </c>
      <c r="D18" s="1" t="str">
        <f>IF(B18&lt;&gt;"",Βραχίονες!D18,"")</f>
        <v/>
      </c>
      <c r="E18" s="3" t="str">
        <f>IF(B18&lt;&gt;"",ROUND('Συμβατικά ΦΣ'!H14*'Συμβατικά ΦΣ'!J14,2),"")</f>
        <v/>
      </c>
      <c r="F18" s="3" t="str">
        <f>IF(B18&lt;&gt;"",ROUND('Νέα ΦΣ'!I15*'Νέα ΦΣ'!M15,2),"")</f>
        <v/>
      </c>
      <c r="G18" s="3" t="str">
        <f>IF(B18&lt;&gt;"",ROUND('Συμβατικά ΦΣ'!L14*'Συμβατικά ΦΣ'!J14*'Γενικά Δεδομένα'!$I$6*365/1000,2),"")</f>
        <v/>
      </c>
      <c r="H18" s="3" t="str">
        <f>IF(B18&lt;&gt;"",IF('Νέα ΦΣ'!O15="ΝΑΙ",ROUND(0.85*F18*'Γενικά Δεδομένα'!$I$6*365/1000,2),ROUND(F18*'Γενικά Δεδομένα'!$I$6*365/1000,2)),"")</f>
        <v/>
      </c>
      <c r="I18" s="2" t="str">
        <f>IF(B18&lt;&gt;"",ROUND('Συμβατικά ΦΣ'!H14*'Γενικά Δεδομένα'!$I$9,2),"")</f>
        <v/>
      </c>
      <c r="J18" s="3" t="str">
        <f>IF(B18&lt;&gt;"",ROUND(('Νέα ΦΣ'!I15+'Νέα ΦΣ'!J15)*'Νέα ΦΣ'!N15,2),"")</f>
        <v/>
      </c>
      <c r="K18" s="3" t="str">
        <f>IF(B18&lt;&gt;"",ROUND(Βραχίονες!F18*'Γενικά Δεδομένα'!$I$10,2),"")</f>
        <v/>
      </c>
      <c r="L18" s="3" t="str">
        <f>IF(B18&lt;&gt;"",ROUND((Βραχίονες!F18+Βραχίονες!G18)*'Γενικά Δεδομένα'!$I$11,2),"")</f>
        <v/>
      </c>
      <c r="M18" s="13"/>
    </row>
    <row r="19" spans="2:13" ht="30" customHeight="1" x14ac:dyDescent="0.25">
      <c r="B19" s="12" t="str">
        <f>IF('Συμβατικά ΦΣ'!B15&lt;&gt;"",'Συμβατικά ΦΣ'!B15,"")</f>
        <v/>
      </c>
      <c r="C19" s="1" t="str">
        <f>IF(B19&lt;&gt;"",'Νέα ΦΣ'!C16,"")</f>
        <v/>
      </c>
      <c r="D19" s="1" t="str">
        <f>IF(B19&lt;&gt;"",Βραχίονες!D19,"")</f>
        <v/>
      </c>
      <c r="E19" s="3" t="str">
        <f>IF(B19&lt;&gt;"",ROUND('Συμβατικά ΦΣ'!H15*'Συμβατικά ΦΣ'!J15,2),"")</f>
        <v/>
      </c>
      <c r="F19" s="3" t="str">
        <f>IF(B19&lt;&gt;"",ROUND('Νέα ΦΣ'!I16*'Νέα ΦΣ'!M16,2),"")</f>
        <v/>
      </c>
      <c r="G19" s="3" t="str">
        <f>IF(B19&lt;&gt;"",ROUND('Συμβατικά ΦΣ'!L15*'Συμβατικά ΦΣ'!J15*'Γενικά Δεδομένα'!$I$6*365/1000,2),"")</f>
        <v/>
      </c>
      <c r="H19" s="3" t="str">
        <f>IF(B19&lt;&gt;"",IF('Νέα ΦΣ'!O16="ΝΑΙ",ROUND(0.85*F19*'Γενικά Δεδομένα'!$I$6*365/1000,2),ROUND(F19*'Γενικά Δεδομένα'!$I$6*365/1000,2)),"")</f>
        <v/>
      </c>
      <c r="I19" s="2" t="str">
        <f>IF(B19&lt;&gt;"",ROUND('Συμβατικά ΦΣ'!H15*'Γενικά Δεδομένα'!$I$9,2),"")</f>
        <v/>
      </c>
      <c r="J19" s="3" t="str">
        <f>IF(B19&lt;&gt;"",ROUND(('Νέα ΦΣ'!I16+'Νέα ΦΣ'!J16)*'Νέα ΦΣ'!N16,2),"")</f>
        <v/>
      </c>
      <c r="K19" s="3" t="str">
        <f>IF(B19&lt;&gt;"",ROUND(Βραχίονες!F19*'Γενικά Δεδομένα'!$I$10,2),"")</f>
        <v/>
      </c>
      <c r="L19" s="3" t="str">
        <f>IF(B19&lt;&gt;"",ROUND((Βραχίονες!F19+Βραχίονες!G19)*'Γενικά Δεδομένα'!$I$11,2),"")</f>
        <v/>
      </c>
      <c r="M19" s="13"/>
    </row>
    <row r="20" spans="2:13" ht="30" customHeight="1" x14ac:dyDescent="0.25">
      <c r="B20" s="12" t="str">
        <f>IF('Συμβατικά ΦΣ'!B16&lt;&gt;"",'Συμβατικά ΦΣ'!B16,"")</f>
        <v/>
      </c>
      <c r="C20" s="1" t="str">
        <f>IF(B20&lt;&gt;"",'Νέα ΦΣ'!C17,"")</f>
        <v/>
      </c>
      <c r="D20" s="1" t="str">
        <f>IF(B20&lt;&gt;"",Βραχίονες!D20,"")</f>
        <v/>
      </c>
      <c r="E20" s="3" t="str">
        <f>IF(B20&lt;&gt;"",ROUND('Συμβατικά ΦΣ'!H16*'Συμβατικά ΦΣ'!J16,2),"")</f>
        <v/>
      </c>
      <c r="F20" s="3" t="str">
        <f>IF(B20&lt;&gt;"",ROUND('Νέα ΦΣ'!I17*'Νέα ΦΣ'!M17,2),"")</f>
        <v/>
      </c>
      <c r="G20" s="3" t="str">
        <f>IF(B20&lt;&gt;"",ROUND('Συμβατικά ΦΣ'!L16*'Συμβατικά ΦΣ'!J16*'Γενικά Δεδομένα'!$I$6*365/1000,2),"")</f>
        <v/>
      </c>
      <c r="H20" s="3" t="str">
        <f>IF(B20&lt;&gt;"",IF('Νέα ΦΣ'!O17="ΝΑΙ",ROUND(0.85*F20*'Γενικά Δεδομένα'!$I$6*365/1000,2),ROUND(F20*'Γενικά Δεδομένα'!$I$6*365/1000,2)),"")</f>
        <v/>
      </c>
      <c r="I20" s="2" t="str">
        <f>IF(B20&lt;&gt;"",ROUND('Συμβατικά ΦΣ'!H16*'Γενικά Δεδομένα'!$I$9,2),"")</f>
        <v/>
      </c>
      <c r="J20" s="3" t="str">
        <f>IF(B20&lt;&gt;"",ROUND(('Νέα ΦΣ'!I17+'Νέα ΦΣ'!J17)*'Νέα ΦΣ'!N17,2),"")</f>
        <v/>
      </c>
      <c r="K20" s="3" t="str">
        <f>IF(B20&lt;&gt;"",ROUND(Βραχίονες!F20*'Γενικά Δεδομένα'!$I$10,2),"")</f>
        <v/>
      </c>
      <c r="L20" s="3" t="str">
        <f>IF(B20&lt;&gt;"",ROUND((Βραχίονες!F20+Βραχίονες!G20)*'Γενικά Δεδομένα'!$I$11,2),"")</f>
        <v/>
      </c>
      <c r="M20" s="13"/>
    </row>
    <row r="21" spans="2:13" ht="30" customHeight="1" x14ac:dyDescent="0.25">
      <c r="B21" s="12" t="str">
        <f>IF('Συμβατικά ΦΣ'!B17&lt;&gt;"",'Συμβατικά ΦΣ'!B17,"")</f>
        <v/>
      </c>
      <c r="C21" s="1" t="str">
        <f>IF(B21&lt;&gt;"",'Νέα ΦΣ'!C18,"")</f>
        <v/>
      </c>
      <c r="D21" s="1" t="str">
        <f>IF(B21&lt;&gt;"",Βραχίονες!D21,"")</f>
        <v/>
      </c>
      <c r="E21" s="3" t="str">
        <f>IF(B21&lt;&gt;"",ROUND('Συμβατικά ΦΣ'!H17*'Συμβατικά ΦΣ'!J17,2),"")</f>
        <v/>
      </c>
      <c r="F21" s="3" t="str">
        <f>IF(B21&lt;&gt;"",ROUND('Νέα ΦΣ'!I18*'Νέα ΦΣ'!M18,2),"")</f>
        <v/>
      </c>
      <c r="G21" s="3" t="str">
        <f>IF(B21&lt;&gt;"",ROUND('Συμβατικά ΦΣ'!L17*'Συμβατικά ΦΣ'!J17*'Γενικά Δεδομένα'!$I$6*365/1000,2),"")</f>
        <v/>
      </c>
      <c r="H21" s="3" t="str">
        <f>IF(B21&lt;&gt;"",IF('Νέα ΦΣ'!O18="ΝΑΙ",ROUND(0.85*F21*'Γενικά Δεδομένα'!$I$6*365/1000,2),ROUND(F21*'Γενικά Δεδομένα'!$I$6*365/1000,2)),"")</f>
        <v/>
      </c>
      <c r="I21" s="2" t="str">
        <f>IF(B21&lt;&gt;"",ROUND('Συμβατικά ΦΣ'!H17*'Γενικά Δεδομένα'!$I$9,2),"")</f>
        <v/>
      </c>
      <c r="J21" s="3" t="str">
        <f>IF(B21&lt;&gt;"",ROUND(('Νέα ΦΣ'!I18+'Νέα ΦΣ'!J18)*'Νέα ΦΣ'!N18,2),"")</f>
        <v/>
      </c>
      <c r="K21" s="3" t="str">
        <f>IF(B21&lt;&gt;"",ROUND(Βραχίονες!F21*'Γενικά Δεδομένα'!$I$10,2),"")</f>
        <v/>
      </c>
      <c r="L21" s="3" t="str">
        <f>IF(B21&lt;&gt;"",ROUND((Βραχίονες!F21+Βραχίονες!G21)*'Γενικά Δεδομένα'!$I$11,2),"")</f>
        <v/>
      </c>
      <c r="M21" s="13"/>
    </row>
    <row r="22" spans="2:13" ht="30" customHeight="1" x14ac:dyDescent="0.25">
      <c r="B22" s="12" t="str">
        <f>IF('Συμβατικά ΦΣ'!B18&lt;&gt;"",'Συμβατικά ΦΣ'!B18,"")</f>
        <v/>
      </c>
      <c r="C22" s="1" t="str">
        <f>IF(B22&lt;&gt;"",'Νέα ΦΣ'!C19,"")</f>
        <v/>
      </c>
      <c r="D22" s="1" t="str">
        <f>IF(B22&lt;&gt;"",Βραχίονες!D22,"")</f>
        <v/>
      </c>
      <c r="E22" s="3" t="str">
        <f>IF(B22&lt;&gt;"",ROUND('Συμβατικά ΦΣ'!H18*'Συμβατικά ΦΣ'!J18,2),"")</f>
        <v/>
      </c>
      <c r="F22" s="3" t="str">
        <f>IF(B22&lt;&gt;"",ROUND('Νέα ΦΣ'!I19*'Νέα ΦΣ'!M19,2),"")</f>
        <v/>
      </c>
      <c r="G22" s="3" t="str">
        <f>IF(B22&lt;&gt;"",ROUND('Συμβατικά ΦΣ'!L18*'Συμβατικά ΦΣ'!J18*'Γενικά Δεδομένα'!$I$6*365/1000,2),"")</f>
        <v/>
      </c>
      <c r="H22" s="3" t="str">
        <f>IF(B22&lt;&gt;"",IF('Νέα ΦΣ'!O19="ΝΑΙ",ROUND(0.85*F22*'Γενικά Δεδομένα'!$I$6*365/1000,2),ROUND(F22*'Γενικά Δεδομένα'!$I$6*365/1000,2)),"")</f>
        <v/>
      </c>
      <c r="I22" s="2" t="str">
        <f>IF(B22&lt;&gt;"",ROUND('Συμβατικά ΦΣ'!H18*'Γενικά Δεδομένα'!$I$9,2),"")</f>
        <v/>
      </c>
      <c r="J22" s="3" t="str">
        <f>IF(B22&lt;&gt;"",ROUND(('Νέα ΦΣ'!I19+'Νέα ΦΣ'!J19)*'Νέα ΦΣ'!N19,2),"")</f>
        <v/>
      </c>
      <c r="K22" s="3" t="str">
        <f>IF(B22&lt;&gt;"",ROUND(Βραχίονες!F22*'Γενικά Δεδομένα'!$I$10,2),"")</f>
        <v/>
      </c>
      <c r="L22" s="3" t="str">
        <f>IF(B22&lt;&gt;"",ROUND((Βραχίονες!F22+Βραχίονες!G22)*'Γενικά Δεδομένα'!$I$11,2),"")</f>
        <v/>
      </c>
      <c r="M22" s="13"/>
    </row>
    <row r="23" spans="2:13" ht="30" customHeight="1" x14ac:dyDescent="0.25">
      <c r="B23" s="12" t="str">
        <f>IF('Συμβατικά ΦΣ'!B19&lt;&gt;"",'Συμβατικά ΦΣ'!B19,"")</f>
        <v/>
      </c>
      <c r="C23" s="1" t="str">
        <f>IF(B23&lt;&gt;"",'Νέα ΦΣ'!C20,"")</f>
        <v/>
      </c>
      <c r="D23" s="1" t="str">
        <f>IF(B23&lt;&gt;"",Βραχίονες!D23,"")</f>
        <v/>
      </c>
      <c r="E23" s="3" t="str">
        <f>IF(B23&lt;&gt;"",ROUND('Συμβατικά ΦΣ'!H19*'Συμβατικά ΦΣ'!J19,2),"")</f>
        <v/>
      </c>
      <c r="F23" s="3" t="str">
        <f>IF(B23&lt;&gt;"",ROUND('Νέα ΦΣ'!I20*'Νέα ΦΣ'!M20,2),"")</f>
        <v/>
      </c>
      <c r="G23" s="3" t="str">
        <f>IF(B23&lt;&gt;"",ROUND('Συμβατικά ΦΣ'!L19*'Συμβατικά ΦΣ'!J19*'Γενικά Δεδομένα'!$I$6*365/1000,2),"")</f>
        <v/>
      </c>
      <c r="H23" s="3" t="str">
        <f>IF(B23&lt;&gt;"",IF('Νέα ΦΣ'!O20="ΝΑΙ",ROUND(0.85*F23*'Γενικά Δεδομένα'!$I$6*365/1000,2),ROUND(F23*'Γενικά Δεδομένα'!$I$6*365/1000,2)),"")</f>
        <v/>
      </c>
      <c r="I23" s="2" t="str">
        <f>IF(B23&lt;&gt;"",ROUND('Συμβατικά ΦΣ'!H19*'Γενικά Δεδομένα'!$I$9,2),"")</f>
        <v/>
      </c>
      <c r="J23" s="3" t="str">
        <f>IF(B23&lt;&gt;"",ROUND(('Νέα ΦΣ'!I20+'Νέα ΦΣ'!J20)*'Νέα ΦΣ'!N20,2),"")</f>
        <v/>
      </c>
      <c r="K23" s="3" t="str">
        <f>IF(B23&lt;&gt;"",ROUND(Βραχίονες!F23*'Γενικά Δεδομένα'!$I$10,2),"")</f>
        <v/>
      </c>
      <c r="L23" s="3" t="str">
        <f>IF(B23&lt;&gt;"",ROUND((Βραχίονες!F23+Βραχίονες!G23)*'Γενικά Δεδομένα'!$I$11,2),"")</f>
        <v/>
      </c>
      <c r="M23" s="13"/>
    </row>
    <row r="24" spans="2:13" ht="30" customHeight="1" x14ac:dyDescent="0.25">
      <c r="B24" s="12" t="str">
        <f>IF('Συμβατικά ΦΣ'!B20&lt;&gt;"",'Συμβατικά ΦΣ'!B20,"")</f>
        <v/>
      </c>
      <c r="C24" s="1" t="str">
        <f>IF(B24&lt;&gt;"",'Νέα ΦΣ'!C21,"")</f>
        <v/>
      </c>
      <c r="D24" s="1" t="str">
        <f>IF(B24&lt;&gt;"",Βραχίονες!D24,"")</f>
        <v/>
      </c>
      <c r="E24" s="3" t="str">
        <f>IF(B24&lt;&gt;"",ROUND('Συμβατικά ΦΣ'!H20*'Συμβατικά ΦΣ'!J20,2),"")</f>
        <v/>
      </c>
      <c r="F24" s="3" t="str">
        <f>IF(B24&lt;&gt;"",ROUND('Νέα ΦΣ'!I21*'Νέα ΦΣ'!M21,2),"")</f>
        <v/>
      </c>
      <c r="G24" s="3" t="str">
        <f>IF(B24&lt;&gt;"",ROUND('Συμβατικά ΦΣ'!L20*'Συμβατικά ΦΣ'!J20*'Γενικά Δεδομένα'!$I$6*365/1000,2),"")</f>
        <v/>
      </c>
      <c r="H24" s="3" t="str">
        <f>IF(B24&lt;&gt;"",IF('Νέα ΦΣ'!O21="ΝΑΙ",ROUND(0.85*F24*'Γενικά Δεδομένα'!$I$6*365/1000,2),ROUND(F24*'Γενικά Δεδομένα'!$I$6*365/1000,2)),"")</f>
        <v/>
      </c>
      <c r="I24" s="2" t="str">
        <f>IF(B24&lt;&gt;"",ROUND('Συμβατικά ΦΣ'!H20*'Γενικά Δεδομένα'!$I$9,2),"")</f>
        <v/>
      </c>
      <c r="J24" s="3" t="str">
        <f>IF(B24&lt;&gt;"",ROUND(('Νέα ΦΣ'!I21+'Νέα ΦΣ'!J21)*'Νέα ΦΣ'!N21,2),"")</f>
        <v/>
      </c>
      <c r="K24" s="3" t="str">
        <f>IF(B24&lt;&gt;"",ROUND(Βραχίονες!F24*'Γενικά Δεδομένα'!$I$10,2),"")</f>
        <v/>
      </c>
      <c r="L24" s="3" t="str">
        <f>IF(B24&lt;&gt;"",ROUND((Βραχίονες!F24+Βραχίονες!G24)*'Γενικά Δεδομένα'!$I$11,2),"")</f>
        <v/>
      </c>
      <c r="M24" s="13"/>
    </row>
    <row r="25" spans="2:13" ht="30" customHeight="1" x14ac:dyDescent="0.25">
      <c r="B25" s="12" t="str">
        <f>IF('Συμβατικά ΦΣ'!B21&lt;&gt;"",'Συμβατικά ΦΣ'!B21,"")</f>
        <v/>
      </c>
      <c r="C25" s="1" t="str">
        <f>IF(B25&lt;&gt;"",'Νέα ΦΣ'!C22,"")</f>
        <v/>
      </c>
      <c r="D25" s="1" t="str">
        <f>IF(B25&lt;&gt;"",Βραχίονες!D25,"")</f>
        <v/>
      </c>
      <c r="E25" s="3" t="str">
        <f>IF(B25&lt;&gt;"",ROUND('Συμβατικά ΦΣ'!H21*'Συμβατικά ΦΣ'!J21,2),"")</f>
        <v/>
      </c>
      <c r="F25" s="3" t="str">
        <f>IF(B25&lt;&gt;"",ROUND('Νέα ΦΣ'!I22*'Νέα ΦΣ'!M22,2),"")</f>
        <v/>
      </c>
      <c r="G25" s="3" t="str">
        <f>IF(B25&lt;&gt;"",ROUND('Συμβατικά ΦΣ'!L21*'Συμβατικά ΦΣ'!J21*'Γενικά Δεδομένα'!$I$6*365/1000,2),"")</f>
        <v/>
      </c>
      <c r="H25" s="3" t="str">
        <f>IF(B25&lt;&gt;"",IF('Νέα ΦΣ'!O22="ΝΑΙ",ROUND(0.85*F25*'Γενικά Δεδομένα'!$I$6*365/1000,2),ROUND(F25*'Γενικά Δεδομένα'!$I$6*365/1000,2)),"")</f>
        <v/>
      </c>
      <c r="I25" s="2" t="str">
        <f>IF(B25&lt;&gt;"",ROUND('Συμβατικά ΦΣ'!H21*'Γενικά Δεδομένα'!$I$9,2),"")</f>
        <v/>
      </c>
      <c r="J25" s="3" t="str">
        <f>IF(B25&lt;&gt;"",ROUND(('Νέα ΦΣ'!I22+'Νέα ΦΣ'!J22)*'Νέα ΦΣ'!N22,2),"")</f>
        <v/>
      </c>
      <c r="K25" s="3" t="str">
        <f>IF(B25&lt;&gt;"",ROUND(Βραχίονες!F25*'Γενικά Δεδομένα'!$I$10,2),"")</f>
        <v/>
      </c>
      <c r="L25" s="3" t="str">
        <f>IF(B25&lt;&gt;"",ROUND((Βραχίονες!F25+Βραχίονες!G25)*'Γενικά Δεδομένα'!$I$11,2),"")</f>
        <v/>
      </c>
      <c r="M25" s="13"/>
    </row>
    <row r="26" spans="2:13" ht="30" customHeight="1" x14ac:dyDescent="0.25">
      <c r="B26" s="12" t="str">
        <f>IF('Συμβατικά ΦΣ'!B22&lt;&gt;"",'Συμβατικά ΦΣ'!B22,"")</f>
        <v/>
      </c>
      <c r="C26" s="1" t="str">
        <f>IF(B26&lt;&gt;"",'Νέα ΦΣ'!C23,"")</f>
        <v/>
      </c>
      <c r="D26" s="1" t="str">
        <f>IF(B26&lt;&gt;"",Βραχίονες!D26,"")</f>
        <v/>
      </c>
      <c r="E26" s="3" t="str">
        <f>IF(B26&lt;&gt;"",ROUND('Συμβατικά ΦΣ'!H22*'Συμβατικά ΦΣ'!J22,2),"")</f>
        <v/>
      </c>
      <c r="F26" s="3" t="str">
        <f>IF(B26&lt;&gt;"",ROUND('Νέα ΦΣ'!I23*'Νέα ΦΣ'!M23,2),"")</f>
        <v/>
      </c>
      <c r="G26" s="3" t="str">
        <f>IF(B26&lt;&gt;"",ROUND('Συμβατικά ΦΣ'!L22*'Συμβατικά ΦΣ'!J22*'Γενικά Δεδομένα'!$I$6*365/1000,2),"")</f>
        <v/>
      </c>
      <c r="H26" s="3" t="str">
        <f>IF(B26&lt;&gt;"",IF('Νέα ΦΣ'!O23="ΝΑΙ",ROUND(0.85*F26*'Γενικά Δεδομένα'!$I$6*365/1000,2),ROUND(F26*'Γενικά Δεδομένα'!$I$6*365/1000,2)),"")</f>
        <v/>
      </c>
      <c r="I26" s="2" t="str">
        <f>IF(B26&lt;&gt;"",ROUND('Συμβατικά ΦΣ'!H22*'Γενικά Δεδομένα'!$I$9,2),"")</f>
        <v/>
      </c>
      <c r="J26" s="3" t="str">
        <f>IF(B26&lt;&gt;"",ROUND(('Νέα ΦΣ'!I23+'Νέα ΦΣ'!J23)*'Νέα ΦΣ'!N23,2),"")</f>
        <v/>
      </c>
      <c r="K26" s="3" t="str">
        <f>IF(B26&lt;&gt;"",ROUND(Βραχίονες!F26*'Γενικά Δεδομένα'!$I$10,2),"")</f>
        <v/>
      </c>
      <c r="L26" s="3" t="str">
        <f>IF(B26&lt;&gt;"",ROUND((Βραχίονες!F26+Βραχίονες!G26)*'Γενικά Δεδομένα'!$I$11,2),"")</f>
        <v/>
      </c>
      <c r="M26" s="13"/>
    </row>
    <row r="27" spans="2:13" ht="30" customHeight="1" x14ac:dyDescent="0.25">
      <c r="B27" s="12" t="str">
        <f>IF('Συμβατικά ΦΣ'!B23&lt;&gt;"",'Συμβατικά ΦΣ'!B23,"")</f>
        <v/>
      </c>
      <c r="C27" s="1" t="str">
        <f>IF(B27&lt;&gt;"",'Νέα ΦΣ'!C24,"")</f>
        <v/>
      </c>
      <c r="D27" s="1" t="str">
        <f>IF(B27&lt;&gt;"",Βραχίονες!D27,"")</f>
        <v/>
      </c>
      <c r="E27" s="3" t="str">
        <f>IF(B27&lt;&gt;"",ROUND('Συμβατικά ΦΣ'!H23*'Συμβατικά ΦΣ'!J23,2),"")</f>
        <v/>
      </c>
      <c r="F27" s="3" t="str">
        <f>IF(B27&lt;&gt;"",ROUND('Νέα ΦΣ'!I24*'Νέα ΦΣ'!M24,2),"")</f>
        <v/>
      </c>
      <c r="G27" s="3" t="str">
        <f>IF(B27&lt;&gt;"",ROUND('Συμβατικά ΦΣ'!L23*'Συμβατικά ΦΣ'!J23*'Γενικά Δεδομένα'!$I$6*365/1000,2),"")</f>
        <v/>
      </c>
      <c r="H27" s="3" t="str">
        <f>IF(B27&lt;&gt;"",IF('Νέα ΦΣ'!O24="ΝΑΙ",ROUND(0.85*F27*'Γενικά Δεδομένα'!$I$6*365/1000,2),ROUND(F27*'Γενικά Δεδομένα'!$I$6*365/1000,2)),"")</f>
        <v/>
      </c>
      <c r="I27" s="2" t="str">
        <f>IF(B27&lt;&gt;"",ROUND('Συμβατικά ΦΣ'!H23*'Γενικά Δεδομένα'!$I$9,2),"")</f>
        <v/>
      </c>
      <c r="J27" s="3" t="str">
        <f>IF(B27&lt;&gt;"",ROUND(('Νέα ΦΣ'!I24+'Νέα ΦΣ'!J24)*'Νέα ΦΣ'!N24,2),"")</f>
        <v/>
      </c>
      <c r="K27" s="3" t="str">
        <f>IF(B27&lt;&gt;"",ROUND(Βραχίονες!F27*'Γενικά Δεδομένα'!$I$10,2),"")</f>
        <v/>
      </c>
      <c r="L27" s="3" t="str">
        <f>IF(B27&lt;&gt;"",ROUND((Βραχίονες!F27+Βραχίονες!G27)*'Γενικά Δεδομένα'!$I$11,2),"")</f>
        <v/>
      </c>
      <c r="M27" s="13"/>
    </row>
    <row r="28" spans="2:13" ht="30" customHeight="1" x14ac:dyDescent="0.25">
      <c r="B28" s="12" t="str">
        <f>IF('Συμβατικά ΦΣ'!B24&lt;&gt;"",'Συμβατικά ΦΣ'!B24,"")</f>
        <v/>
      </c>
      <c r="C28" s="1" t="str">
        <f>IF(B28&lt;&gt;"",'Νέα ΦΣ'!C25,"")</f>
        <v/>
      </c>
      <c r="D28" s="1" t="str">
        <f>IF(B28&lt;&gt;"",Βραχίονες!D28,"")</f>
        <v/>
      </c>
      <c r="E28" s="3" t="str">
        <f>IF(B28&lt;&gt;"",ROUND('Συμβατικά ΦΣ'!H24*'Συμβατικά ΦΣ'!J24,2),"")</f>
        <v/>
      </c>
      <c r="F28" s="3" t="str">
        <f>IF(B28&lt;&gt;"",ROUND('Νέα ΦΣ'!I25*'Νέα ΦΣ'!M25,2),"")</f>
        <v/>
      </c>
      <c r="G28" s="3" t="str">
        <f>IF(B28&lt;&gt;"",ROUND('Συμβατικά ΦΣ'!L24*'Συμβατικά ΦΣ'!J24*'Γενικά Δεδομένα'!$I$6*365/1000,2),"")</f>
        <v/>
      </c>
      <c r="H28" s="3" t="str">
        <f>IF(B28&lt;&gt;"",IF('Νέα ΦΣ'!O25="ΝΑΙ",ROUND(0.85*F28*'Γενικά Δεδομένα'!$I$6*365/1000,2),ROUND(F28*'Γενικά Δεδομένα'!$I$6*365/1000,2)),"")</f>
        <v/>
      </c>
      <c r="I28" s="2" t="str">
        <f>IF(B28&lt;&gt;"",ROUND('Συμβατικά ΦΣ'!H24*'Γενικά Δεδομένα'!$I$9,2),"")</f>
        <v/>
      </c>
      <c r="J28" s="3" t="str">
        <f>IF(B28&lt;&gt;"",ROUND(('Νέα ΦΣ'!I25+'Νέα ΦΣ'!J25)*'Νέα ΦΣ'!N25,2),"")</f>
        <v/>
      </c>
      <c r="K28" s="3" t="str">
        <f>IF(B28&lt;&gt;"",ROUND(Βραχίονες!F28*'Γενικά Δεδομένα'!$I$10,2),"")</f>
        <v/>
      </c>
      <c r="L28" s="3" t="str">
        <f>IF(B28&lt;&gt;"",ROUND((Βραχίονες!F28+Βραχίονες!G28)*'Γενικά Δεδομένα'!$I$11,2),"")</f>
        <v/>
      </c>
      <c r="M28" s="13"/>
    </row>
    <row r="29" spans="2:13" ht="30" customHeight="1" x14ac:dyDescent="0.25">
      <c r="B29" s="12" t="str">
        <f>IF('Συμβατικά ΦΣ'!B25&lt;&gt;"",'Συμβατικά ΦΣ'!B25,"")</f>
        <v/>
      </c>
      <c r="C29" s="1" t="str">
        <f>IF(B29&lt;&gt;"",'Νέα ΦΣ'!C26,"")</f>
        <v/>
      </c>
      <c r="D29" s="1" t="str">
        <f>IF(B29&lt;&gt;"",Βραχίονες!D29,"")</f>
        <v/>
      </c>
      <c r="E29" s="3" t="str">
        <f>IF(B29&lt;&gt;"",ROUND('Συμβατικά ΦΣ'!H25*'Συμβατικά ΦΣ'!J25,2),"")</f>
        <v/>
      </c>
      <c r="F29" s="3" t="str">
        <f>IF(B29&lt;&gt;"",ROUND('Νέα ΦΣ'!I26*'Νέα ΦΣ'!M26,2),"")</f>
        <v/>
      </c>
      <c r="G29" s="3" t="str">
        <f>IF(B29&lt;&gt;"",ROUND('Συμβατικά ΦΣ'!L25*'Συμβατικά ΦΣ'!J25*'Γενικά Δεδομένα'!$I$6*365/1000,2),"")</f>
        <v/>
      </c>
      <c r="H29" s="3" t="str">
        <f>IF(B29&lt;&gt;"",IF('Νέα ΦΣ'!O26="ΝΑΙ",ROUND(0.85*F29*'Γενικά Δεδομένα'!$I$6*365/1000,2),ROUND(F29*'Γενικά Δεδομένα'!$I$6*365/1000,2)),"")</f>
        <v/>
      </c>
      <c r="I29" s="2" t="str">
        <f>IF(B29&lt;&gt;"",ROUND('Συμβατικά ΦΣ'!H25*'Γενικά Δεδομένα'!$I$9,2),"")</f>
        <v/>
      </c>
      <c r="J29" s="3" t="str">
        <f>IF(B29&lt;&gt;"",ROUND(('Νέα ΦΣ'!I26+'Νέα ΦΣ'!J26)*'Νέα ΦΣ'!N26,2),"")</f>
        <v/>
      </c>
      <c r="K29" s="3" t="str">
        <f>IF(B29&lt;&gt;"",ROUND(Βραχίονες!F29*'Γενικά Δεδομένα'!$I$10,2),"")</f>
        <v/>
      </c>
      <c r="L29" s="3" t="str">
        <f>IF(B29&lt;&gt;"",ROUND((Βραχίονες!F29+Βραχίονες!G29)*'Γενικά Δεδομένα'!$I$11,2),"")</f>
        <v/>
      </c>
      <c r="M29" s="13"/>
    </row>
    <row r="30" spans="2:13" ht="30" customHeight="1" x14ac:dyDescent="0.25">
      <c r="B30" s="12" t="str">
        <f>IF('Συμβατικά ΦΣ'!B26&lt;&gt;"",'Συμβατικά ΦΣ'!B26,"")</f>
        <v/>
      </c>
      <c r="C30" s="1" t="str">
        <f>IF(B30&lt;&gt;"",'Νέα ΦΣ'!C27,"")</f>
        <v/>
      </c>
      <c r="D30" s="1" t="str">
        <f>IF(B30&lt;&gt;"",Βραχίονες!D30,"")</f>
        <v/>
      </c>
      <c r="E30" s="3" t="str">
        <f>IF(B30&lt;&gt;"",ROUND('Συμβατικά ΦΣ'!H26*'Συμβατικά ΦΣ'!J26,2),"")</f>
        <v/>
      </c>
      <c r="F30" s="3" t="str">
        <f>IF(B30&lt;&gt;"",ROUND('Νέα ΦΣ'!I27*'Νέα ΦΣ'!M27,2),"")</f>
        <v/>
      </c>
      <c r="G30" s="3" t="str">
        <f>IF(B30&lt;&gt;"",ROUND('Συμβατικά ΦΣ'!L26*'Συμβατικά ΦΣ'!J26*'Γενικά Δεδομένα'!$I$6*365/1000,2),"")</f>
        <v/>
      </c>
      <c r="H30" s="3" t="str">
        <f>IF(B30&lt;&gt;"",IF('Νέα ΦΣ'!O27="ΝΑΙ",ROUND(0.85*F30*'Γενικά Δεδομένα'!$I$6*365/1000,2),ROUND(F30*'Γενικά Δεδομένα'!$I$6*365/1000,2)),"")</f>
        <v/>
      </c>
      <c r="I30" s="2" t="str">
        <f>IF(B30&lt;&gt;"",ROUND('Συμβατικά ΦΣ'!H26*'Γενικά Δεδομένα'!$I$9,2),"")</f>
        <v/>
      </c>
      <c r="J30" s="3" t="str">
        <f>IF(B30&lt;&gt;"",ROUND(('Νέα ΦΣ'!I27+'Νέα ΦΣ'!J27)*'Νέα ΦΣ'!N27,2),"")</f>
        <v/>
      </c>
      <c r="K30" s="3" t="str">
        <f>IF(B30&lt;&gt;"",ROUND(Βραχίονες!F30*'Γενικά Δεδομένα'!$I$10,2),"")</f>
        <v/>
      </c>
      <c r="L30" s="3" t="str">
        <f>IF(B30&lt;&gt;"",ROUND((Βραχίονες!F30+Βραχίονες!G30)*'Γενικά Δεδομένα'!$I$11,2),"")</f>
        <v/>
      </c>
      <c r="M30" s="13"/>
    </row>
    <row r="31" spans="2:13" ht="30" customHeight="1" x14ac:dyDescent="0.25">
      <c r="B31" s="12" t="str">
        <f>IF('Συμβατικά ΦΣ'!B27&lt;&gt;"",'Συμβατικά ΦΣ'!B27,"")</f>
        <v/>
      </c>
      <c r="C31" s="1" t="str">
        <f>IF(B31&lt;&gt;"",'Νέα ΦΣ'!C28,"")</f>
        <v/>
      </c>
      <c r="D31" s="1" t="str">
        <f>IF(B31&lt;&gt;"",Βραχίονες!D31,"")</f>
        <v/>
      </c>
      <c r="E31" s="3" t="str">
        <f>IF(B31&lt;&gt;"",ROUND('Συμβατικά ΦΣ'!H27*'Συμβατικά ΦΣ'!J27,2),"")</f>
        <v/>
      </c>
      <c r="F31" s="3" t="str">
        <f>IF(B31&lt;&gt;"",ROUND('Νέα ΦΣ'!I28*'Νέα ΦΣ'!M28,2),"")</f>
        <v/>
      </c>
      <c r="G31" s="3" t="str">
        <f>IF(B31&lt;&gt;"",ROUND('Συμβατικά ΦΣ'!L27*'Συμβατικά ΦΣ'!J27*'Γενικά Δεδομένα'!$I$6*365/1000,2),"")</f>
        <v/>
      </c>
      <c r="H31" s="3" t="str">
        <f>IF(B31&lt;&gt;"",IF('Νέα ΦΣ'!O28="ΝΑΙ",ROUND(0.85*F31*'Γενικά Δεδομένα'!$I$6*365/1000,2),ROUND(F31*'Γενικά Δεδομένα'!$I$6*365/1000,2)),"")</f>
        <v/>
      </c>
      <c r="I31" s="2" t="str">
        <f>IF(B31&lt;&gt;"",ROUND('Συμβατικά ΦΣ'!H27*'Γενικά Δεδομένα'!$I$9,2),"")</f>
        <v/>
      </c>
      <c r="J31" s="3" t="str">
        <f>IF(B31&lt;&gt;"",ROUND(('Νέα ΦΣ'!I28+'Νέα ΦΣ'!J28)*'Νέα ΦΣ'!N28,2),"")</f>
        <v/>
      </c>
      <c r="K31" s="3" t="str">
        <f>IF(B31&lt;&gt;"",ROUND(Βραχίονες!F31*'Γενικά Δεδομένα'!$I$10,2),"")</f>
        <v/>
      </c>
      <c r="L31" s="3" t="str">
        <f>IF(B31&lt;&gt;"",ROUND((Βραχίονες!F31+Βραχίονες!G31)*'Γενικά Δεδομένα'!$I$11,2),"")</f>
        <v/>
      </c>
      <c r="M31" s="13"/>
    </row>
    <row r="32" spans="2:13" ht="30" customHeight="1" x14ac:dyDescent="0.25">
      <c r="B32" s="12" t="str">
        <f>IF('Συμβατικά ΦΣ'!B28&lt;&gt;"",'Συμβατικά ΦΣ'!B28,"")</f>
        <v/>
      </c>
      <c r="C32" s="1" t="str">
        <f>IF(B32&lt;&gt;"",'Νέα ΦΣ'!C29,"")</f>
        <v/>
      </c>
      <c r="D32" s="1" t="str">
        <f>IF(B32&lt;&gt;"",Βραχίονες!D32,"")</f>
        <v/>
      </c>
      <c r="E32" s="3" t="str">
        <f>IF(B32&lt;&gt;"",ROUND('Συμβατικά ΦΣ'!H28*'Συμβατικά ΦΣ'!J28,2),"")</f>
        <v/>
      </c>
      <c r="F32" s="3" t="str">
        <f>IF(B32&lt;&gt;"",ROUND('Νέα ΦΣ'!I29*'Νέα ΦΣ'!M29,2),"")</f>
        <v/>
      </c>
      <c r="G32" s="3" t="str">
        <f>IF(B32&lt;&gt;"",ROUND('Συμβατικά ΦΣ'!L28*'Συμβατικά ΦΣ'!J28*'Γενικά Δεδομένα'!$I$6*365/1000,2),"")</f>
        <v/>
      </c>
      <c r="H32" s="3" t="str">
        <f>IF(B32&lt;&gt;"",IF('Νέα ΦΣ'!O29="ΝΑΙ",ROUND(0.85*F32*'Γενικά Δεδομένα'!$I$6*365/1000,2),ROUND(F32*'Γενικά Δεδομένα'!$I$6*365/1000,2)),"")</f>
        <v/>
      </c>
      <c r="I32" s="2" t="str">
        <f>IF(B32&lt;&gt;"",ROUND('Συμβατικά ΦΣ'!H28*'Γενικά Δεδομένα'!$I$9,2),"")</f>
        <v/>
      </c>
      <c r="J32" s="3" t="str">
        <f>IF(B32&lt;&gt;"",ROUND(('Νέα ΦΣ'!I29+'Νέα ΦΣ'!J29)*'Νέα ΦΣ'!N29,2),"")</f>
        <v/>
      </c>
      <c r="K32" s="3" t="str">
        <f>IF(B32&lt;&gt;"",ROUND(Βραχίονες!F32*'Γενικά Δεδομένα'!$I$10,2),"")</f>
        <v/>
      </c>
      <c r="L32" s="3" t="str">
        <f>IF(B32&lt;&gt;"",ROUND((Βραχίονες!F32+Βραχίονες!G32)*'Γενικά Δεδομένα'!$I$11,2),"")</f>
        <v/>
      </c>
      <c r="M32" s="13"/>
    </row>
    <row r="33" spans="2:13" ht="30" customHeight="1" x14ac:dyDescent="0.25">
      <c r="B33" s="12" t="str">
        <f>IF('Συμβατικά ΦΣ'!B29&lt;&gt;"",'Συμβατικά ΦΣ'!B29,"")</f>
        <v/>
      </c>
      <c r="C33" s="1" t="str">
        <f>IF(B33&lt;&gt;"",'Νέα ΦΣ'!C30,"")</f>
        <v/>
      </c>
      <c r="D33" s="1" t="str">
        <f>IF(B33&lt;&gt;"",Βραχίονες!D33,"")</f>
        <v/>
      </c>
      <c r="E33" s="3" t="str">
        <f>IF(B33&lt;&gt;"",ROUND('Συμβατικά ΦΣ'!H29*'Συμβατικά ΦΣ'!J29,2),"")</f>
        <v/>
      </c>
      <c r="F33" s="3" t="str">
        <f>IF(B33&lt;&gt;"",ROUND('Νέα ΦΣ'!I30*'Νέα ΦΣ'!M30,2),"")</f>
        <v/>
      </c>
      <c r="G33" s="3" t="str">
        <f>IF(B33&lt;&gt;"",ROUND('Συμβατικά ΦΣ'!L29*'Συμβατικά ΦΣ'!J29*'Γενικά Δεδομένα'!$I$6*365/1000,2),"")</f>
        <v/>
      </c>
      <c r="H33" s="3" t="str">
        <f>IF(B33&lt;&gt;"",IF('Νέα ΦΣ'!O30="ΝΑΙ",ROUND(0.85*F33*'Γενικά Δεδομένα'!$I$6*365/1000,2),ROUND(F33*'Γενικά Δεδομένα'!$I$6*365/1000,2)),"")</f>
        <v/>
      </c>
      <c r="I33" s="2" t="str">
        <f>IF(B33&lt;&gt;"",ROUND('Συμβατικά ΦΣ'!H29*'Γενικά Δεδομένα'!$I$9,2),"")</f>
        <v/>
      </c>
      <c r="J33" s="3" t="str">
        <f>IF(B33&lt;&gt;"",ROUND(('Νέα ΦΣ'!I30+'Νέα ΦΣ'!J30)*'Νέα ΦΣ'!N30,2),"")</f>
        <v/>
      </c>
      <c r="K33" s="3" t="str">
        <f>IF(B33&lt;&gt;"",ROUND(Βραχίονες!F33*'Γενικά Δεδομένα'!$I$10,2),"")</f>
        <v/>
      </c>
      <c r="L33" s="3" t="str">
        <f>IF(B33&lt;&gt;"",ROUND((Βραχίονες!F33+Βραχίονες!G33)*'Γενικά Δεδομένα'!$I$11,2),"")</f>
        <v/>
      </c>
      <c r="M33" s="13"/>
    </row>
    <row r="34" spans="2:13" ht="30" customHeight="1" x14ac:dyDescent="0.25">
      <c r="B34" s="12" t="str">
        <f>IF('Συμβατικά ΦΣ'!B30&lt;&gt;"",'Συμβατικά ΦΣ'!B30,"")</f>
        <v/>
      </c>
      <c r="C34" s="1" t="str">
        <f>IF(B34&lt;&gt;"",'Νέα ΦΣ'!C31,"")</f>
        <v/>
      </c>
      <c r="D34" s="1" t="str">
        <f>IF(B34&lt;&gt;"",Βραχίονες!D34,"")</f>
        <v/>
      </c>
      <c r="E34" s="3" t="str">
        <f>IF(B34&lt;&gt;"",ROUND('Συμβατικά ΦΣ'!H30*'Συμβατικά ΦΣ'!J30,2),"")</f>
        <v/>
      </c>
      <c r="F34" s="3" t="str">
        <f>IF(B34&lt;&gt;"",ROUND('Νέα ΦΣ'!I31*'Νέα ΦΣ'!M31,2),"")</f>
        <v/>
      </c>
      <c r="G34" s="3" t="str">
        <f>IF(B34&lt;&gt;"",ROUND('Συμβατικά ΦΣ'!L30*'Συμβατικά ΦΣ'!J30*'Γενικά Δεδομένα'!$I$6*365/1000,2),"")</f>
        <v/>
      </c>
      <c r="H34" s="3" t="str">
        <f>IF(B34&lt;&gt;"",IF('Νέα ΦΣ'!O31="ΝΑΙ",ROUND(0.85*F34*'Γενικά Δεδομένα'!$I$6*365/1000,2),ROUND(F34*'Γενικά Δεδομένα'!$I$6*365/1000,2)),"")</f>
        <v/>
      </c>
      <c r="I34" s="2" t="str">
        <f>IF(B34&lt;&gt;"",ROUND('Συμβατικά ΦΣ'!H30*'Γενικά Δεδομένα'!$I$9,2),"")</f>
        <v/>
      </c>
      <c r="J34" s="3" t="str">
        <f>IF(B34&lt;&gt;"",ROUND(('Νέα ΦΣ'!I31+'Νέα ΦΣ'!J31)*'Νέα ΦΣ'!N31,2),"")</f>
        <v/>
      </c>
      <c r="K34" s="3" t="str">
        <f>IF(B34&lt;&gt;"",ROUND(Βραχίονες!F34*'Γενικά Δεδομένα'!$I$10,2),"")</f>
        <v/>
      </c>
      <c r="L34" s="3" t="str">
        <f>IF(B34&lt;&gt;"",ROUND((Βραχίονες!F34+Βραχίονες!G34)*'Γενικά Δεδομένα'!$I$11,2),"")</f>
        <v/>
      </c>
      <c r="M34" s="13"/>
    </row>
    <row r="35" spans="2:13" ht="30" customHeight="1" x14ac:dyDescent="0.25">
      <c r="B35" s="12" t="str">
        <f>IF('Συμβατικά ΦΣ'!B31&lt;&gt;"",'Συμβατικά ΦΣ'!B31,"")</f>
        <v/>
      </c>
      <c r="C35" s="1" t="str">
        <f>IF(B35&lt;&gt;"",'Νέα ΦΣ'!C32,"")</f>
        <v/>
      </c>
      <c r="D35" s="1" t="str">
        <f>IF(B35&lt;&gt;"",Βραχίονες!D35,"")</f>
        <v/>
      </c>
      <c r="E35" s="3" t="str">
        <f>IF(B35&lt;&gt;"",ROUND('Συμβατικά ΦΣ'!H31*'Συμβατικά ΦΣ'!J31,2),"")</f>
        <v/>
      </c>
      <c r="F35" s="3" t="str">
        <f>IF(B35&lt;&gt;"",ROUND('Νέα ΦΣ'!I32*'Νέα ΦΣ'!M32,2),"")</f>
        <v/>
      </c>
      <c r="G35" s="3" t="str">
        <f>IF(B35&lt;&gt;"",ROUND('Συμβατικά ΦΣ'!L31*'Συμβατικά ΦΣ'!J31*'Γενικά Δεδομένα'!$I$6*365/1000,2),"")</f>
        <v/>
      </c>
      <c r="H35" s="3" t="str">
        <f>IF(B35&lt;&gt;"",IF('Νέα ΦΣ'!O32="ΝΑΙ",ROUND(0.85*F35*'Γενικά Δεδομένα'!$I$6*365/1000,2),ROUND(F35*'Γενικά Δεδομένα'!$I$6*365/1000,2)),"")</f>
        <v/>
      </c>
      <c r="I35" s="2" t="str">
        <f>IF(B35&lt;&gt;"",ROUND('Συμβατικά ΦΣ'!H31*'Γενικά Δεδομένα'!$I$9,2),"")</f>
        <v/>
      </c>
      <c r="J35" s="3" t="str">
        <f>IF(B35&lt;&gt;"",ROUND(('Νέα ΦΣ'!I32+'Νέα ΦΣ'!J32)*'Νέα ΦΣ'!N32,2),"")</f>
        <v/>
      </c>
      <c r="K35" s="3" t="str">
        <f>IF(B35&lt;&gt;"",ROUND(Βραχίονες!F35*'Γενικά Δεδομένα'!$I$10,2),"")</f>
        <v/>
      </c>
      <c r="L35" s="3" t="str">
        <f>IF(B35&lt;&gt;"",ROUND((Βραχίονες!F35+Βραχίονες!G35)*'Γενικά Δεδομένα'!$I$11,2),"")</f>
        <v/>
      </c>
      <c r="M35" s="13"/>
    </row>
    <row r="36" spans="2:13" ht="30" customHeight="1" x14ac:dyDescent="0.25">
      <c r="B36" s="12" t="str">
        <f>IF('Συμβατικά ΦΣ'!B32&lt;&gt;"",'Συμβατικά ΦΣ'!B32,"")</f>
        <v/>
      </c>
      <c r="C36" s="1" t="str">
        <f>IF(B36&lt;&gt;"",'Νέα ΦΣ'!C33,"")</f>
        <v/>
      </c>
      <c r="D36" s="1" t="str">
        <f>IF(B36&lt;&gt;"",Βραχίονες!D36,"")</f>
        <v/>
      </c>
      <c r="E36" s="3" t="str">
        <f>IF(B36&lt;&gt;"",ROUND('Συμβατικά ΦΣ'!H32*'Συμβατικά ΦΣ'!J32,2),"")</f>
        <v/>
      </c>
      <c r="F36" s="3" t="str">
        <f>IF(B36&lt;&gt;"",ROUND('Νέα ΦΣ'!I33*'Νέα ΦΣ'!M33,2),"")</f>
        <v/>
      </c>
      <c r="G36" s="3" t="str">
        <f>IF(B36&lt;&gt;"",ROUND('Συμβατικά ΦΣ'!L32*'Συμβατικά ΦΣ'!J32*'Γενικά Δεδομένα'!$I$6*365/1000,2),"")</f>
        <v/>
      </c>
      <c r="H36" s="3" t="str">
        <f>IF(B36&lt;&gt;"",IF('Νέα ΦΣ'!O33="ΝΑΙ",ROUND(0.85*F36*'Γενικά Δεδομένα'!$I$6*365/1000,2),ROUND(F36*'Γενικά Δεδομένα'!$I$6*365/1000,2)),"")</f>
        <v/>
      </c>
      <c r="I36" s="2" t="str">
        <f>IF(B36&lt;&gt;"",ROUND('Συμβατικά ΦΣ'!H32*'Γενικά Δεδομένα'!$I$9,2),"")</f>
        <v/>
      </c>
      <c r="J36" s="3" t="str">
        <f>IF(B36&lt;&gt;"",ROUND(('Νέα ΦΣ'!I33+'Νέα ΦΣ'!J33)*'Νέα ΦΣ'!N33,2),"")</f>
        <v/>
      </c>
      <c r="K36" s="3" t="str">
        <f>IF(B36&lt;&gt;"",ROUND(Βραχίονες!F36*'Γενικά Δεδομένα'!$I$10,2),"")</f>
        <v/>
      </c>
      <c r="L36" s="3" t="str">
        <f>IF(B36&lt;&gt;"",ROUND((Βραχίονες!F36+Βραχίονες!G36)*'Γενικά Δεδομένα'!$I$11,2),"")</f>
        <v/>
      </c>
      <c r="M36" s="13"/>
    </row>
    <row r="37" spans="2:13" ht="30" customHeight="1" x14ac:dyDescent="0.25">
      <c r="B37" s="12" t="str">
        <f>IF('Συμβατικά ΦΣ'!B33&lt;&gt;"",'Συμβατικά ΦΣ'!B33,"")</f>
        <v/>
      </c>
      <c r="C37" s="1" t="str">
        <f>IF(B37&lt;&gt;"",'Νέα ΦΣ'!C34,"")</f>
        <v/>
      </c>
      <c r="D37" s="1" t="str">
        <f>IF(B37&lt;&gt;"",Βραχίονες!D37,"")</f>
        <v/>
      </c>
      <c r="E37" s="3" t="str">
        <f>IF(B37&lt;&gt;"",ROUND('Συμβατικά ΦΣ'!H33*'Συμβατικά ΦΣ'!J33,2),"")</f>
        <v/>
      </c>
      <c r="F37" s="3" t="str">
        <f>IF(B37&lt;&gt;"",ROUND('Νέα ΦΣ'!I34*'Νέα ΦΣ'!M34,2),"")</f>
        <v/>
      </c>
      <c r="G37" s="3" t="str">
        <f>IF(B37&lt;&gt;"",ROUND('Συμβατικά ΦΣ'!L33*'Συμβατικά ΦΣ'!J33*'Γενικά Δεδομένα'!$I$6*365/1000,2),"")</f>
        <v/>
      </c>
      <c r="H37" s="3" t="str">
        <f>IF(B37&lt;&gt;"",IF('Νέα ΦΣ'!O34="ΝΑΙ",ROUND(0.85*F37*'Γενικά Δεδομένα'!$I$6*365/1000,2),ROUND(F37*'Γενικά Δεδομένα'!$I$6*365/1000,2)),"")</f>
        <v/>
      </c>
      <c r="I37" s="2" t="str">
        <f>IF(B37&lt;&gt;"",ROUND('Συμβατικά ΦΣ'!H33*'Γενικά Δεδομένα'!$I$9,2),"")</f>
        <v/>
      </c>
      <c r="J37" s="3" t="str">
        <f>IF(B37&lt;&gt;"",ROUND(('Νέα ΦΣ'!I34+'Νέα ΦΣ'!J34)*'Νέα ΦΣ'!N34,2),"")</f>
        <v/>
      </c>
      <c r="K37" s="3" t="str">
        <f>IF(B37&lt;&gt;"",ROUND(Βραχίονες!F37*'Γενικά Δεδομένα'!$I$10,2),"")</f>
        <v/>
      </c>
      <c r="L37" s="3" t="str">
        <f>IF(B37&lt;&gt;"",ROUND((Βραχίονες!F37+Βραχίονες!G37)*'Γενικά Δεδομένα'!$I$11,2),"")</f>
        <v/>
      </c>
      <c r="M37" s="13"/>
    </row>
    <row r="38" spans="2:13" ht="30" customHeight="1" x14ac:dyDescent="0.25">
      <c r="B38" s="12" t="str">
        <f>IF('Συμβατικά ΦΣ'!B34&lt;&gt;"",'Συμβατικά ΦΣ'!B34,"")</f>
        <v/>
      </c>
      <c r="C38" s="1" t="str">
        <f>IF(B38&lt;&gt;"",'Νέα ΦΣ'!C35,"")</f>
        <v/>
      </c>
      <c r="D38" s="1" t="str">
        <f>IF(B38&lt;&gt;"",Βραχίονες!D38,"")</f>
        <v/>
      </c>
      <c r="E38" s="3" t="str">
        <f>IF(B38&lt;&gt;"",ROUND('Συμβατικά ΦΣ'!H34*'Συμβατικά ΦΣ'!J34,2),"")</f>
        <v/>
      </c>
      <c r="F38" s="3" t="str">
        <f>IF(B38&lt;&gt;"",ROUND('Νέα ΦΣ'!I35*'Νέα ΦΣ'!M35,2),"")</f>
        <v/>
      </c>
      <c r="G38" s="3" t="str">
        <f>IF(B38&lt;&gt;"",ROUND('Συμβατικά ΦΣ'!L34*'Συμβατικά ΦΣ'!J34*'Γενικά Δεδομένα'!$I$6*365/1000,2),"")</f>
        <v/>
      </c>
      <c r="H38" s="3" t="str">
        <f>IF(B38&lt;&gt;"",IF('Νέα ΦΣ'!O35="ΝΑΙ",ROUND(0.85*F38*'Γενικά Δεδομένα'!$I$6*365/1000,2),ROUND(F38*'Γενικά Δεδομένα'!$I$6*365/1000,2)),"")</f>
        <v/>
      </c>
      <c r="I38" s="2" t="str">
        <f>IF(B38&lt;&gt;"",ROUND('Συμβατικά ΦΣ'!H34*'Γενικά Δεδομένα'!$I$9,2),"")</f>
        <v/>
      </c>
      <c r="J38" s="3" t="str">
        <f>IF(B38&lt;&gt;"",ROUND(('Νέα ΦΣ'!I35+'Νέα ΦΣ'!J35)*'Νέα ΦΣ'!N35,2),"")</f>
        <v/>
      </c>
      <c r="K38" s="3" t="str">
        <f>IF(B38&lt;&gt;"",ROUND(Βραχίονες!F38*'Γενικά Δεδομένα'!$I$10,2),"")</f>
        <v/>
      </c>
      <c r="L38" s="3" t="str">
        <f>IF(B38&lt;&gt;"",ROUND((Βραχίονες!F38+Βραχίονες!G38)*'Γενικά Δεδομένα'!$I$11,2),"")</f>
        <v/>
      </c>
      <c r="M38" s="13"/>
    </row>
    <row r="39" spans="2:13" ht="30" customHeight="1" x14ac:dyDescent="0.25">
      <c r="B39" s="12" t="str">
        <f>IF('Συμβατικά ΦΣ'!B35&lt;&gt;"",'Συμβατικά ΦΣ'!B35,"")</f>
        <v/>
      </c>
      <c r="C39" s="1" t="str">
        <f>IF(B39&lt;&gt;"",'Νέα ΦΣ'!C36,"")</f>
        <v/>
      </c>
      <c r="D39" s="1" t="str">
        <f>IF(B39&lt;&gt;"",Βραχίονες!D39,"")</f>
        <v/>
      </c>
      <c r="E39" s="3" t="str">
        <f>IF(B39&lt;&gt;"",ROUND('Συμβατικά ΦΣ'!H35*'Συμβατικά ΦΣ'!J35,2),"")</f>
        <v/>
      </c>
      <c r="F39" s="3" t="str">
        <f>IF(B39&lt;&gt;"",ROUND('Νέα ΦΣ'!I36*'Νέα ΦΣ'!M36,2),"")</f>
        <v/>
      </c>
      <c r="G39" s="3" t="str">
        <f>IF(B39&lt;&gt;"",ROUND('Συμβατικά ΦΣ'!L35*'Συμβατικά ΦΣ'!J35*'Γενικά Δεδομένα'!$I$6*365/1000,2),"")</f>
        <v/>
      </c>
      <c r="H39" s="3" t="str">
        <f>IF(B39&lt;&gt;"",IF('Νέα ΦΣ'!O36="ΝΑΙ",ROUND(0.85*F39*'Γενικά Δεδομένα'!$I$6*365/1000,2),ROUND(F39*'Γενικά Δεδομένα'!$I$6*365/1000,2)),"")</f>
        <v/>
      </c>
      <c r="I39" s="2" t="str">
        <f>IF(B39&lt;&gt;"",ROUND('Συμβατικά ΦΣ'!H35*'Γενικά Δεδομένα'!$I$9,2),"")</f>
        <v/>
      </c>
      <c r="J39" s="3" t="str">
        <f>IF(B39&lt;&gt;"",ROUND(('Νέα ΦΣ'!I36+'Νέα ΦΣ'!J36)*'Νέα ΦΣ'!N36,2),"")</f>
        <v/>
      </c>
      <c r="K39" s="3" t="str">
        <f>IF(B39&lt;&gt;"",ROUND(Βραχίονες!F39*'Γενικά Δεδομένα'!$I$10,2),"")</f>
        <v/>
      </c>
      <c r="L39" s="3" t="str">
        <f>IF(B39&lt;&gt;"",ROUND((Βραχίονες!F39+Βραχίονες!G39)*'Γενικά Δεδομένα'!$I$11,2),"")</f>
        <v/>
      </c>
      <c r="M39" s="13"/>
    </row>
    <row r="40" spans="2:13" ht="30" customHeight="1" x14ac:dyDescent="0.25">
      <c r="B40" s="12" t="str">
        <f>IF('Συμβατικά ΦΣ'!B36&lt;&gt;"",'Συμβατικά ΦΣ'!B36,"")</f>
        <v/>
      </c>
      <c r="C40" s="1" t="str">
        <f>IF(B40&lt;&gt;"",'Νέα ΦΣ'!C37,"")</f>
        <v/>
      </c>
      <c r="D40" s="1" t="str">
        <f>IF(B40&lt;&gt;"",Βραχίονες!D40,"")</f>
        <v/>
      </c>
      <c r="E40" s="3" t="str">
        <f>IF(B40&lt;&gt;"",ROUND('Συμβατικά ΦΣ'!H36*'Συμβατικά ΦΣ'!J36,2),"")</f>
        <v/>
      </c>
      <c r="F40" s="3" t="str">
        <f>IF(B40&lt;&gt;"",ROUND('Νέα ΦΣ'!I37*'Νέα ΦΣ'!M37,2),"")</f>
        <v/>
      </c>
      <c r="G40" s="3" t="str">
        <f>IF(B40&lt;&gt;"",ROUND('Συμβατικά ΦΣ'!L36*'Συμβατικά ΦΣ'!J36*'Γενικά Δεδομένα'!$I$6*365/1000,2),"")</f>
        <v/>
      </c>
      <c r="H40" s="3" t="str">
        <f>IF(B40&lt;&gt;"",IF('Νέα ΦΣ'!O37="ΝΑΙ",ROUND(0.85*F40*'Γενικά Δεδομένα'!$I$6*365/1000,2),ROUND(F40*'Γενικά Δεδομένα'!$I$6*365/1000,2)),"")</f>
        <v/>
      </c>
      <c r="I40" s="2" t="str">
        <f>IF(B40&lt;&gt;"",ROUND('Συμβατικά ΦΣ'!H36*'Γενικά Δεδομένα'!$I$9,2),"")</f>
        <v/>
      </c>
      <c r="J40" s="3" t="str">
        <f>IF(B40&lt;&gt;"",ROUND(('Νέα ΦΣ'!I37+'Νέα ΦΣ'!J37)*'Νέα ΦΣ'!N37,2),"")</f>
        <v/>
      </c>
      <c r="K40" s="3" t="str">
        <f>IF(B40&lt;&gt;"",ROUND(Βραχίονες!F40*'Γενικά Δεδομένα'!$I$10,2),"")</f>
        <v/>
      </c>
      <c r="L40" s="3" t="str">
        <f>IF(B40&lt;&gt;"",ROUND((Βραχίονες!F40+Βραχίονες!G40)*'Γενικά Δεδομένα'!$I$11,2),"")</f>
        <v/>
      </c>
      <c r="M40" s="13"/>
    </row>
    <row r="41" spans="2:13" ht="30" customHeight="1" x14ac:dyDescent="0.25">
      <c r="B41" s="12" t="str">
        <f>IF('Συμβατικά ΦΣ'!B37&lt;&gt;"",'Συμβατικά ΦΣ'!B37,"")</f>
        <v/>
      </c>
      <c r="C41" s="1" t="str">
        <f>IF(B41&lt;&gt;"",'Νέα ΦΣ'!C38,"")</f>
        <v/>
      </c>
      <c r="D41" s="1" t="str">
        <f>IF(B41&lt;&gt;"",Βραχίονες!D41,"")</f>
        <v/>
      </c>
      <c r="E41" s="3" t="str">
        <f>IF(B41&lt;&gt;"",ROUND('Συμβατικά ΦΣ'!H37*'Συμβατικά ΦΣ'!J37,2),"")</f>
        <v/>
      </c>
      <c r="F41" s="3" t="str">
        <f>IF(B41&lt;&gt;"",ROUND('Νέα ΦΣ'!I38*'Νέα ΦΣ'!M38,2),"")</f>
        <v/>
      </c>
      <c r="G41" s="3" t="str">
        <f>IF(B41&lt;&gt;"",ROUND('Συμβατικά ΦΣ'!L37*'Συμβατικά ΦΣ'!J37*'Γενικά Δεδομένα'!$I$6*365/1000,2),"")</f>
        <v/>
      </c>
      <c r="H41" s="3" t="str">
        <f>IF(B41&lt;&gt;"",IF('Νέα ΦΣ'!O38="ΝΑΙ",ROUND(0.85*F41*'Γενικά Δεδομένα'!$I$6*365/1000,2),ROUND(F41*'Γενικά Δεδομένα'!$I$6*365/1000,2)),"")</f>
        <v/>
      </c>
      <c r="I41" s="2" t="str">
        <f>IF(B41&lt;&gt;"",ROUND('Συμβατικά ΦΣ'!H37*'Γενικά Δεδομένα'!$I$9,2),"")</f>
        <v/>
      </c>
      <c r="J41" s="3" t="str">
        <f>IF(B41&lt;&gt;"",ROUND(('Νέα ΦΣ'!I38+'Νέα ΦΣ'!J38)*'Νέα ΦΣ'!N38,2),"")</f>
        <v/>
      </c>
      <c r="K41" s="3" t="str">
        <f>IF(B41&lt;&gt;"",ROUND(Βραχίονες!F41*'Γενικά Δεδομένα'!$I$10,2),"")</f>
        <v/>
      </c>
      <c r="L41" s="3" t="str">
        <f>IF(B41&lt;&gt;"",ROUND((Βραχίονες!F41+Βραχίονες!G41)*'Γενικά Δεδομένα'!$I$11,2),"")</f>
        <v/>
      </c>
      <c r="M41" s="13"/>
    </row>
    <row r="42" spans="2:13" ht="30" customHeight="1" x14ac:dyDescent="0.25">
      <c r="B42" s="12" t="str">
        <f>IF('Συμβατικά ΦΣ'!B38&lt;&gt;"",'Συμβατικά ΦΣ'!B38,"")</f>
        <v/>
      </c>
      <c r="C42" s="1" t="str">
        <f>IF(B42&lt;&gt;"",'Νέα ΦΣ'!C39,"")</f>
        <v/>
      </c>
      <c r="D42" s="1" t="str">
        <f>IF(B42&lt;&gt;"",Βραχίονες!D42,"")</f>
        <v/>
      </c>
      <c r="E42" s="3" t="str">
        <f>IF(B42&lt;&gt;"",ROUND('Συμβατικά ΦΣ'!H38*'Συμβατικά ΦΣ'!J38,2),"")</f>
        <v/>
      </c>
      <c r="F42" s="3" t="str">
        <f>IF(B42&lt;&gt;"",ROUND('Νέα ΦΣ'!I39*'Νέα ΦΣ'!M39,2),"")</f>
        <v/>
      </c>
      <c r="G42" s="3" t="str">
        <f>IF(B42&lt;&gt;"",ROUND('Συμβατικά ΦΣ'!L38*'Συμβατικά ΦΣ'!J38*'Γενικά Δεδομένα'!$I$6*365/1000,2),"")</f>
        <v/>
      </c>
      <c r="H42" s="3" t="str">
        <f>IF(B42&lt;&gt;"",IF('Νέα ΦΣ'!O39="ΝΑΙ",ROUND(0.85*F42*'Γενικά Δεδομένα'!$I$6*365/1000,2),ROUND(F42*'Γενικά Δεδομένα'!$I$6*365/1000,2)),"")</f>
        <v/>
      </c>
      <c r="I42" s="2" t="str">
        <f>IF(B42&lt;&gt;"",ROUND('Συμβατικά ΦΣ'!H38*'Γενικά Δεδομένα'!$I$9,2),"")</f>
        <v/>
      </c>
      <c r="J42" s="3" t="str">
        <f>IF(B42&lt;&gt;"",ROUND(('Νέα ΦΣ'!I39+'Νέα ΦΣ'!J39)*'Νέα ΦΣ'!N39,2),"")</f>
        <v/>
      </c>
      <c r="K42" s="3" t="str">
        <f>IF(B42&lt;&gt;"",ROUND(Βραχίονες!F42*'Γενικά Δεδομένα'!$I$10,2),"")</f>
        <v/>
      </c>
      <c r="L42" s="3" t="str">
        <f>IF(B42&lt;&gt;"",ROUND((Βραχίονες!F42+Βραχίονες!G42)*'Γενικά Δεδομένα'!$I$11,2),"")</f>
        <v/>
      </c>
      <c r="M42" s="13"/>
    </row>
    <row r="43" spans="2:13" ht="30" customHeight="1" x14ac:dyDescent="0.25">
      <c r="B43" s="12" t="str">
        <f>IF('Συμβατικά ΦΣ'!B39&lt;&gt;"",'Συμβατικά ΦΣ'!B39,"")</f>
        <v/>
      </c>
      <c r="C43" s="1" t="str">
        <f>IF(B43&lt;&gt;"",'Νέα ΦΣ'!C40,"")</f>
        <v/>
      </c>
      <c r="D43" s="1" t="str">
        <f>IF(B43&lt;&gt;"",Βραχίονες!D43,"")</f>
        <v/>
      </c>
      <c r="E43" s="3" t="str">
        <f>IF(B43&lt;&gt;"",ROUND('Συμβατικά ΦΣ'!H39*'Συμβατικά ΦΣ'!J39,2),"")</f>
        <v/>
      </c>
      <c r="F43" s="3" t="str">
        <f>IF(B43&lt;&gt;"",ROUND('Νέα ΦΣ'!I40*'Νέα ΦΣ'!M40,2),"")</f>
        <v/>
      </c>
      <c r="G43" s="3" t="str">
        <f>IF(B43&lt;&gt;"",ROUND('Συμβατικά ΦΣ'!L39*'Συμβατικά ΦΣ'!J39*'Γενικά Δεδομένα'!$I$6*365/1000,2),"")</f>
        <v/>
      </c>
      <c r="H43" s="3" t="str">
        <f>IF(B43&lt;&gt;"",IF('Νέα ΦΣ'!O40="ΝΑΙ",ROUND(0.85*F43*'Γενικά Δεδομένα'!$I$6*365/1000,2),ROUND(F43*'Γενικά Δεδομένα'!$I$6*365/1000,2)),"")</f>
        <v/>
      </c>
      <c r="I43" s="2" t="str">
        <f>IF(B43&lt;&gt;"",ROUND('Συμβατικά ΦΣ'!H39*'Γενικά Δεδομένα'!$I$9,2),"")</f>
        <v/>
      </c>
      <c r="J43" s="3" t="str">
        <f>IF(B43&lt;&gt;"",ROUND(('Νέα ΦΣ'!I40+'Νέα ΦΣ'!J40)*'Νέα ΦΣ'!N40,2),"")</f>
        <v/>
      </c>
      <c r="K43" s="3" t="str">
        <f>IF(B43&lt;&gt;"",ROUND(Βραχίονες!F43*'Γενικά Δεδομένα'!$I$10,2),"")</f>
        <v/>
      </c>
      <c r="L43" s="3" t="str">
        <f>IF(B43&lt;&gt;"",ROUND((Βραχίονες!F43+Βραχίονες!G43)*'Γενικά Δεδομένα'!$I$11,2),"")</f>
        <v/>
      </c>
      <c r="M43" s="13"/>
    </row>
    <row r="44" spans="2:13" ht="30" customHeight="1" x14ac:dyDescent="0.25">
      <c r="B44" s="12" t="str">
        <f>IF('Συμβατικά ΦΣ'!B40&lt;&gt;"",'Συμβατικά ΦΣ'!B40,"")</f>
        <v/>
      </c>
      <c r="C44" s="1" t="str">
        <f>IF(B44&lt;&gt;"",'Νέα ΦΣ'!C41,"")</f>
        <v/>
      </c>
      <c r="D44" s="1" t="str">
        <f>IF(B44&lt;&gt;"",Βραχίονες!D44,"")</f>
        <v/>
      </c>
      <c r="E44" s="3" t="str">
        <f>IF(B44&lt;&gt;"",ROUND('Συμβατικά ΦΣ'!H40*'Συμβατικά ΦΣ'!J40,2),"")</f>
        <v/>
      </c>
      <c r="F44" s="3" t="str">
        <f>IF(B44&lt;&gt;"",ROUND('Νέα ΦΣ'!I41*'Νέα ΦΣ'!M41,2),"")</f>
        <v/>
      </c>
      <c r="G44" s="3" t="str">
        <f>IF(B44&lt;&gt;"",ROUND('Συμβατικά ΦΣ'!L40*'Συμβατικά ΦΣ'!J40*'Γενικά Δεδομένα'!$I$6*365/1000,2),"")</f>
        <v/>
      </c>
      <c r="H44" s="3" t="str">
        <f>IF(B44&lt;&gt;"",IF('Νέα ΦΣ'!O41="ΝΑΙ",ROUND(0.85*F44*'Γενικά Δεδομένα'!$I$6*365/1000,2),ROUND(F44*'Γενικά Δεδομένα'!$I$6*365/1000,2)),"")</f>
        <v/>
      </c>
      <c r="I44" s="2" t="str">
        <f>IF(B44&lt;&gt;"",ROUND('Συμβατικά ΦΣ'!H40*'Γενικά Δεδομένα'!$I$9,2),"")</f>
        <v/>
      </c>
      <c r="J44" s="3" t="str">
        <f>IF(B44&lt;&gt;"",ROUND(('Νέα ΦΣ'!I41+'Νέα ΦΣ'!J41)*'Νέα ΦΣ'!N41,2),"")</f>
        <v/>
      </c>
      <c r="K44" s="3" t="str">
        <f>IF(B44&lt;&gt;"",ROUND(Βραχίονες!F44*'Γενικά Δεδομένα'!$I$10,2),"")</f>
        <v/>
      </c>
      <c r="L44" s="3" t="str">
        <f>IF(B44&lt;&gt;"",ROUND((Βραχίονες!F44+Βραχίονες!G44)*'Γενικά Δεδομένα'!$I$11,2),"")</f>
        <v/>
      </c>
      <c r="M44" s="13"/>
    </row>
    <row r="45" spans="2:13" ht="30" customHeight="1" x14ac:dyDescent="0.25">
      <c r="B45" s="12" t="str">
        <f>IF('Συμβατικά ΦΣ'!B41&lt;&gt;"",'Συμβατικά ΦΣ'!B41,"")</f>
        <v/>
      </c>
      <c r="C45" s="1" t="str">
        <f>IF(B45&lt;&gt;"",'Νέα ΦΣ'!C42,"")</f>
        <v/>
      </c>
      <c r="D45" s="1" t="str">
        <f>IF(B45&lt;&gt;"",Βραχίονες!D45,"")</f>
        <v/>
      </c>
      <c r="E45" s="3" t="str">
        <f>IF(B45&lt;&gt;"",ROUND('Συμβατικά ΦΣ'!H41*'Συμβατικά ΦΣ'!J41,2),"")</f>
        <v/>
      </c>
      <c r="F45" s="3" t="str">
        <f>IF(B45&lt;&gt;"",ROUND('Νέα ΦΣ'!I42*'Νέα ΦΣ'!M42,2),"")</f>
        <v/>
      </c>
      <c r="G45" s="3" t="str">
        <f>IF(B45&lt;&gt;"",ROUND('Συμβατικά ΦΣ'!L41*'Συμβατικά ΦΣ'!J41*'Γενικά Δεδομένα'!$I$6*365/1000,2),"")</f>
        <v/>
      </c>
      <c r="H45" s="3" t="str">
        <f>IF(B45&lt;&gt;"",IF('Νέα ΦΣ'!O42="ΝΑΙ",ROUND(0.85*F45*'Γενικά Δεδομένα'!$I$6*365/1000,2),ROUND(F45*'Γενικά Δεδομένα'!$I$6*365/1000,2)),"")</f>
        <v/>
      </c>
      <c r="I45" s="2" t="str">
        <f>IF(B45&lt;&gt;"",ROUND('Συμβατικά ΦΣ'!H41*'Γενικά Δεδομένα'!$I$9,2),"")</f>
        <v/>
      </c>
      <c r="J45" s="3" t="str">
        <f>IF(B45&lt;&gt;"",ROUND(('Νέα ΦΣ'!I42+'Νέα ΦΣ'!J42)*'Νέα ΦΣ'!N42,2),"")</f>
        <v/>
      </c>
      <c r="K45" s="3" t="str">
        <f>IF(B45&lt;&gt;"",ROUND(Βραχίονες!F45*'Γενικά Δεδομένα'!$I$10,2),"")</f>
        <v/>
      </c>
      <c r="L45" s="3" t="str">
        <f>IF(B45&lt;&gt;"",ROUND((Βραχίονες!F45+Βραχίονες!G45)*'Γενικά Δεδομένα'!$I$11,2),"")</f>
        <v/>
      </c>
      <c r="M45" s="13"/>
    </row>
    <row r="46" spans="2:13" ht="30" customHeight="1" x14ac:dyDescent="0.25">
      <c r="B46" s="12" t="str">
        <f>IF('Συμβατικά ΦΣ'!B42&lt;&gt;"",'Συμβατικά ΦΣ'!B42,"")</f>
        <v/>
      </c>
      <c r="C46" s="1" t="str">
        <f>IF(B46&lt;&gt;"",'Νέα ΦΣ'!C43,"")</f>
        <v/>
      </c>
      <c r="D46" s="1" t="str">
        <f>IF(B46&lt;&gt;"",Βραχίονες!D46,"")</f>
        <v/>
      </c>
      <c r="E46" s="3" t="str">
        <f>IF(B46&lt;&gt;"",ROUND('Συμβατικά ΦΣ'!H42*'Συμβατικά ΦΣ'!J42,2),"")</f>
        <v/>
      </c>
      <c r="F46" s="3" t="str">
        <f>IF(B46&lt;&gt;"",ROUND('Νέα ΦΣ'!I43*'Νέα ΦΣ'!M43,2),"")</f>
        <v/>
      </c>
      <c r="G46" s="3" t="str">
        <f>IF(B46&lt;&gt;"",ROUND('Συμβατικά ΦΣ'!L42*'Συμβατικά ΦΣ'!J42*'Γενικά Δεδομένα'!$I$6*365/1000,2),"")</f>
        <v/>
      </c>
      <c r="H46" s="3" t="str">
        <f>IF(B46&lt;&gt;"",IF('Νέα ΦΣ'!O43="ΝΑΙ",ROUND(0.85*F46*'Γενικά Δεδομένα'!$I$6*365/1000,2),ROUND(F46*'Γενικά Δεδομένα'!$I$6*365/1000,2)),"")</f>
        <v/>
      </c>
      <c r="I46" s="2" t="str">
        <f>IF(B46&lt;&gt;"",ROUND('Συμβατικά ΦΣ'!H42*'Γενικά Δεδομένα'!$I$9,2),"")</f>
        <v/>
      </c>
      <c r="J46" s="3" t="str">
        <f>IF(B46&lt;&gt;"",ROUND(('Νέα ΦΣ'!I43+'Νέα ΦΣ'!J43)*'Νέα ΦΣ'!N43,2),"")</f>
        <v/>
      </c>
      <c r="K46" s="3" t="str">
        <f>IF(B46&lt;&gt;"",ROUND(Βραχίονες!F46*'Γενικά Δεδομένα'!$I$10,2),"")</f>
        <v/>
      </c>
      <c r="L46" s="3" t="str">
        <f>IF(B46&lt;&gt;"",ROUND((Βραχίονες!F46+Βραχίονες!G46)*'Γενικά Δεδομένα'!$I$11,2),"")</f>
        <v/>
      </c>
      <c r="M46" s="13"/>
    </row>
    <row r="47" spans="2:13" ht="30" customHeight="1" x14ac:dyDescent="0.25">
      <c r="B47" s="12" t="str">
        <f>IF('Συμβατικά ΦΣ'!B43&lt;&gt;"",'Συμβατικά ΦΣ'!B43,"")</f>
        <v/>
      </c>
      <c r="C47" s="1" t="str">
        <f>IF(B47&lt;&gt;"",'Νέα ΦΣ'!C44,"")</f>
        <v/>
      </c>
      <c r="D47" s="1" t="str">
        <f>IF(B47&lt;&gt;"",Βραχίονες!D47,"")</f>
        <v/>
      </c>
      <c r="E47" s="3" t="str">
        <f>IF(B47&lt;&gt;"",ROUND('Συμβατικά ΦΣ'!H43*'Συμβατικά ΦΣ'!J43,2),"")</f>
        <v/>
      </c>
      <c r="F47" s="3" t="str">
        <f>IF(B47&lt;&gt;"",ROUND('Νέα ΦΣ'!I44*'Νέα ΦΣ'!M44,2),"")</f>
        <v/>
      </c>
      <c r="G47" s="3" t="str">
        <f>IF(B47&lt;&gt;"",ROUND('Συμβατικά ΦΣ'!L43*'Συμβατικά ΦΣ'!J43*'Γενικά Δεδομένα'!$I$6*365/1000,2),"")</f>
        <v/>
      </c>
      <c r="H47" s="3" t="str">
        <f>IF(B47&lt;&gt;"",IF('Νέα ΦΣ'!O44="ΝΑΙ",ROUND(0.85*F47*'Γενικά Δεδομένα'!$I$6*365/1000,2),ROUND(F47*'Γενικά Δεδομένα'!$I$6*365/1000,2)),"")</f>
        <v/>
      </c>
      <c r="I47" s="2" t="str">
        <f>IF(B47&lt;&gt;"",ROUND('Συμβατικά ΦΣ'!H43*'Γενικά Δεδομένα'!$I$9,2),"")</f>
        <v/>
      </c>
      <c r="J47" s="3" t="str">
        <f>IF(B47&lt;&gt;"",ROUND(('Νέα ΦΣ'!I44+'Νέα ΦΣ'!J44)*'Νέα ΦΣ'!N44,2),"")</f>
        <v/>
      </c>
      <c r="K47" s="3" t="str">
        <f>IF(B47&lt;&gt;"",ROUND(Βραχίονες!F47*'Γενικά Δεδομένα'!$I$10,2),"")</f>
        <v/>
      </c>
      <c r="L47" s="3" t="str">
        <f>IF(B47&lt;&gt;"",ROUND((Βραχίονες!F47+Βραχίονες!G47)*'Γενικά Δεδομένα'!$I$11,2),"")</f>
        <v/>
      </c>
      <c r="M47" s="13"/>
    </row>
    <row r="48" spans="2:13" ht="30" customHeight="1" x14ac:dyDescent="0.25">
      <c r="B48" s="12" t="str">
        <f>IF('Συμβατικά ΦΣ'!B44&lt;&gt;"",'Συμβατικά ΦΣ'!B44,"")</f>
        <v/>
      </c>
      <c r="C48" s="1" t="str">
        <f>IF(B48&lt;&gt;"",'Νέα ΦΣ'!C45,"")</f>
        <v/>
      </c>
      <c r="D48" s="1" t="str">
        <f>IF(B48&lt;&gt;"",Βραχίονες!D48,"")</f>
        <v/>
      </c>
      <c r="E48" s="3" t="str">
        <f>IF(B48&lt;&gt;"",ROUND('Συμβατικά ΦΣ'!H44*'Συμβατικά ΦΣ'!J44,2),"")</f>
        <v/>
      </c>
      <c r="F48" s="3" t="str">
        <f>IF(B48&lt;&gt;"",ROUND('Νέα ΦΣ'!I45*'Νέα ΦΣ'!M45,2),"")</f>
        <v/>
      </c>
      <c r="G48" s="3" t="str">
        <f>IF(B48&lt;&gt;"",ROUND('Συμβατικά ΦΣ'!L44*'Συμβατικά ΦΣ'!J44*'Γενικά Δεδομένα'!$I$6*365/1000,2),"")</f>
        <v/>
      </c>
      <c r="H48" s="3" t="str">
        <f>IF(B48&lt;&gt;"",IF('Νέα ΦΣ'!O45="ΝΑΙ",ROUND(0.85*F48*'Γενικά Δεδομένα'!$I$6*365/1000,2),ROUND(F48*'Γενικά Δεδομένα'!$I$6*365/1000,2)),"")</f>
        <v/>
      </c>
      <c r="I48" s="2" t="str">
        <f>IF(B48&lt;&gt;"",ROUND('Συμβατικά ΦΣ'!H44*'Γενικά Δεδομένα'!$I$9,2),"")</f>
        <v/>
      </c>
      <c r="J48" s="3" t="str">
        <f>IF(B48&lt;&gt;"",ROUND(('Νέα ΦΣ'!I45+'Νέα ΦΣ'!J45)*'Νέα ΦΣ'!N45,2),"")</f>
        <v/>
      </c>
      <c r="K48" s="3" t="str">
        <f>IF(B48&lt;&gt;"",ROUND(Βραχίονες!F48*'Γενικά Δεδομένα'!$I$10,2),"")</f>
        <v/>
      </c>
      <c r="L48" s="3" t="str">
        <f>IF(B48&lt;&gt;"",ROUND((Βραχίονες!F48+Βραχίονες!G48)*'Γενικά Δεδομένα'!$I$11,2),"")</f>
        <v/>
      </c>
      <c r="M48" s="13"/>
    </row>
    <row r="49" spans="2:13" ht="30" customHeight="1" x14ac:dyDescent="0.25">
      <c r="B49" s="12" t="str">
        <f>IF('Συμβατικά ΦΣ'!B45&lt;&gt;"",'Συμβατικά ΦΣ'!B45,"")</f>
        <v/>
      </c>
      <c r="C49" s="1" t="str">
        <f>IF(B49&lt;&gt;"",'Νέα ΦΣ'!C46,"")</f>
        <v/>
      </c>
      <c r="D49" s="1" t="str">
        <f>IF(B49&lt;&gt;"",Βραχίονες!D49,"")</f>
        <v/>
      </c>
      <c r="E49" s="3" t="str">
        <f>IF(B49&lt;&gt;"",ROUND('Συμβατικά ΦΣ'!H45*'Συμβατικά ΦΣ'!J45,2),"")</f>
        <v/>
      </c>
      <c r="F49" s="3" t="str">
        <f>IF(B49&lt;&gt;"",ROUND('Νέα ΦΣ'!I46*'Νέα ΦΣ'!M46,2),"")</f>
        <v/>
      </c>
      <c r="G49" s="3" t="str">
        <f>IF(B49&lt;&gt;"",ROUND('Συμβατικά ΦΣ'!L45*'Συμβατικά ΦΣ'!J45*'Γενικά Δεδομένα'!$I$6*365/1000,2),"")</f>
        <v/>
      </c>
      <c r="H49" s="3" t="str">
        <f>IF(B49&lt;&gt;"",IF('Νέα ΦΣ'!O46="ΝΑΙ",ROUND(0.85*F49*'Γενικά Δεδομένα'!$I$6*365/1000,2),ROUND(F49*'Γενικά Δεδομένα'!$I$6*365/1000,2)),"")</f>
        <v/>
      </c>
      <c r="I49" s="2" t="str">
        <f>IF(B49&lt;&gt;"",ROUND('Συμβατικά ΦΣ'!H45*'Γενικά Δεδομένα'!$I$9,2),"")</f>
        <v/>
      </c>
      <c r="J49" s="3" t="str">
        <f>IF(B49&lt;&gt;"",ROUND(('Νέα ΦΣ'!I46+'Νέα ΦΣ'!J46)*'Νέα ΦΣ'!N46,2),"")</f>
        <v/>
      </c>
      <c r="K49" s="3" t="str">
        <f>IF(B49&lt;&gt;"",ROUND(Βραχίονες!F49*'Γενικά Δεδομένα'!$I$10,2),"")</f>
        <v/>
      </c>
      <c r="L49" s="3" t="str">
        <f>IF(B49&lt;&gt;"",ROUND((Βραχίονες!F49+Βραχίονες!G49)*'Γενικά Δεδομένα'!$I$11,2),"")</f>
        <v/>
      </c>
      <c r="M49" s="13"/>
    </row>
    <row r="50" spans="2:13" ht="30" customHeight="1" x14ac:dyDescent="0.25">
      <c r="B50" s="12" t="str">
        <f>IF('Συμβατικά ΦΣ'!B46&lt;&gt;"",'Συμβατικά ΦΣ'!B46,"")</f>
        <v/>
      </c>
      <c r="C50" s="1" t="str">
        <f>IF(B50&lt;&gt;"",'Νέα ΦΣ'!C47,"")</f>
        <v/>
      </c>
      <c r="D50" s="1" t="str">
        <f>IF(B50&lt;&gt;"",Βραχίονες!D50,"")</f>
        <v/>
      </c>
      <c r="E50" s="3" t="str">
        <f>IF(B50&lt;&gt;"",ROUND('Συμβατικά ΦΣ'!H46*'Συμβατικά ΦΣ'!J46,2),"")</f>
        <v/>
      </c>
      <c r="F50" s="3" t="str">
        <f>IF(B50&lt;&gt;"",ROUND('Νέα ΦΣ'!I47*'Νέα ΦΣ'!M47,2),"")</f>
        <v/>
      </c>
      <c r="G50" s="3" t="str">
        <f>IF(B50&lt;&gt;"",ROUND('Συμβατικά ΦΣ'!L46*'Συμβατικά ΦΣ'!J46*'Γενικά Δεδομένα'!$I$6*365/1000,2),"")</f>
        <v/>
      </c>
      <c r="H50" s="3" t="str">
        <f>IF(B50&lt;&gt;"",IF('Νέα ΦΣ'!O47="ΝΑΙ",ROUND(0.85*F50*'Γενικά Δεδομένα'!$I$6*365/1000,2),ROUND(F50*'Γενικά Δεδομένα'!$I$6*365/1000,2)),"")</f>
        <v/>
      </c>
      <c r="I50" s="2" t="str">
        <f>IF(B50&lt;&gt;"",ROUND('Συμβατικά ΦΣ'!H46*'Γενικά Δεδομένα'!$I$9,2),"")</f>
        <v/>
      </c>
      <c r="J50" s="3" t="str">
        <f>IF(B50&lt;&gt;"",ROUND(('Νέα ΦΣ'!I47+'Νέα ΦΣ'!J47)*'Νέα ΦΣ'!N47,2),"")</f>
        <v/>
      </c>
      <c r="K50" s="3" t="str">
        <f>IF(B50&lt;&gt;"",ROUND(Βραχίονες!F50*'Γενικά Δεδομένα'!$I$10,2),"")</f>
        <v/>
      </c>
      <c r="L50" s="3" t="str">
        <f>IF(B50&lt;&gt;"",ROUND((Βραχίονες!F50+Βραχίονες!G50)*'Γενικά Δεδομένα'!$I$11,2),"")</f>
        <v/>
      </c>
      <c r="M50" s="13"/>
    </row>
    <row r="51" spans="2:13" ht="30" customHeight="1" x14ac:dyDescent="0.25">
      <c r="B51" s="12" t="str">
        <f>IF('Συμβατικά ΦΣ'!B47&lt;&gt;"",'Συμβατικά ΦΣ'!B47,"")</f>
        <v/>
      </c>
      <c r="C51" s="1" t="str">
        <f>IF(B51&lt;&gt;"",'Νέα ΦΣ'!C48,"")</f>
        <v/>
      </c>
      <c r="D51" s="1" t="str">
        <f>IF(B51&lt;&gt;"",Βραχίονες!D51,"")</f>
        <v/>
      </c>
      <c r="E51" s="3" t="str">
        <f>IF(B51&lt;&gt;"",ROUND('Συμβατικά ΦΣ'!H47*'Συμβατικά ΦΣ'!J47,2),"")</f>
        <v/>
      </c>
      <c r="F51" s="3" t="str">
        <f>IF(B51&lt;&gt;"",ROUND('Νέα ΦΣ'!I48*'Νέα ΦΣ'!M48,2),"")</f>
        <v/>
      </c>
      <c r="G51" s="3" t="str">
        <f>IF(B51&lt;&gt;"",ROUND('Συμβατικά ΦΣ'!L47*'Συμβατικά ΦΣ'!J47*'Γενικά Δεδομένα'!$I$6*365/1000,2),"")</f>
        <v/>
      </c>
      <c r="H51" s="3" t="str">
        <f>IF(B51&lt;&gt;"",IF('Νέα ΦΣ'!O48="ΝΑΙ",ROUND(0.85*F51*'Γενικά Δεδομένα'!$I$6*365/1000,2),ROUND(F51*'Γενικά Δεδομένα'!$I$6*365/1000,2)),"")</f>
        <v/>
      </c>
      <c r="I51" s="2" t="str">
        <f>IF(B51&lt;&gt;"",ROUND('Συμβατικά ΦΣ'!H47*'Γενικά Δεδομένα'!$I$9,2),"")</f>
        <v/>
      </c>
      <c r="J51" s="3" t="str">
        <f>IF(B51&lt;&gt;"",ROUND(('Νέα ΦΣ'!I48+'Νέα ΦΣ'!J48)*'Νέα ΦΣ'!N48,2),"")</f>
        <v/>
      </c>
      <c r="K51" s="3" t="str">
        <f>IF(B51&lt;&gt;"",ROUND(Βραχίονες!F51*'Γενικά Δεδομένα'!$I$10,2),"")</f>
        <v/>
      </c>
      <c r="L51" s="3" t="str">
        <f>IF(B51&lt;&gt;"",ROUND((Βραχίονες!F51+Βραχίονες!G51)*'Γενικά Δεδομένα'!$I$11,2),"")</f>
        <v/>
      </c>
      <c r="M51" s="13"/>
    </row>
    <row r="52" spans="2:13" ht="30" customHeight="1" x14ac:dyDescent="0.25">
      <c r="B52" s="12" t="str">
        <f>IF('Συμβατικά ΦΣ'!B48&lt;&gt;"",'Συμβατικά ΦΣ'!B48,"")</f>
        <v/>
      </c>
      <c r="C52" s="1" t="str">
        <f>IF(B52&lt;&gt;"",'Νέα ΦΣ'!C49,"")</f>
        <v/>
      </c>
      <c r="D52" s="1" t="str">
        <f>IF(B52&lt;&gt;"",Βραχίονες!D52,"")</f>
        <v/>
      </c>
      <c r="E52" s="3" t="str">
        <f>IF(B52&lt;&gt;"",ROUND('Συμβατικά ΦΣ'!H48*'Συμβατικά ΦΣ'!J48,2),"")</f>
        <v/>
      </c>
      <c r="F52" s="3" t="str">
        <f>IF(B52&lt;&gt;"",ROUND('Νέα ΦΣ'!I49*'Νέα ΦΣ'!M49,2),"")</f>
        <v/>
      </c>
      <c r="G52" s="3" t="str">
        <f>IF(B52&lt;&gt;"",ROUND('Συμβατικά ΦΣ'!L48*'Συμβατικά ΦΣ'!J48*'Γενικά Δεδομένα'!$I$6*365/1000,2),"")</f>
        <v/>
      </c>
      <c r="H52" s="3" t="str">
        <f>IF(B52&lt;&gt;"",IF('Νέα ΦΣ'!O49="ΝΑΙ",ROUND(0.85*F52*'Γενικά Δεδομένα'!$I$6*365/1000,2),ROUND(F52*'Γενικά Δεδομένα'!$I$6*365/1000,2)),"")</f>
        <v/>
      </c>
      <c r="I52" s="2" t="str">
        <f>IF(B52&lt;&gt;"",ROUND('Συμβατικά ΦΣ'!H48*'Γενικά Δεδομένα'!$I$9,2),"")</f>
        <v/>
      </c>
      <c r="J52" s="3" t="str">
        <f>IF(B52&lt;&gt;"",ROUND(('Νέα ΦΣ'!I49+'Νέα ΦΣ'!J49)*'Νέα ΦΣ'!N49,2),"")</f>
        <v/>
      </c>
      <c r="K52" s="3" t="str">
        <f>IF(B52&lt;&gt;"",ROUND(Βραχίονες!F52*'Γενικά Δεδομένα'!$I$10,2),"")</f>
        <v/>
      </c>
      <c r="L52" s="3" t="str">
        <f>IF(B52&lt;&gt;"",ROUND((Βραχίονες!F52+Βραχίονες!G52)*'Γενικά Δεδομένα'!$I$11,2),"")</f>
        <v/>
      </c>
      <c r="M52" s="13"/>
    </row>
    <row r="53" spans="2:13" ht="30" customHeight="1" x14ac:dyDescent="0.25">
      <c r="B53" s="12" t="str">
        <f>IF('Συμβατικά ΦΣ'!B49&lt;&gt;"",'Συμβατικά ΦΣ'!B49,"")</f>
        <v/>
      </c>
      <c r="C53" s="1" t="str">
        <f>IF(B53&lt;&gt;"",'Νέα ΦΣ'!C50,"")</f>
        <v/>
      </c>
      <c r="D53" s="1" t="str">
        <f>IF(B53&lt;&gt;"",Βραχίονες!D53,"")</f>
        <v/>
      </c>
      <c r="E53" s="3" t="str">
        <f>IF(B53&lt;&gt;"",ROUND('Συμβατικά ΦΣ'!H49*'Συμβατικά ΦΣ'!J49,2),"")</f>
        <v/>
      </c>
      <c r="F53" s="3" t="str">
        <f>IF(B53&lt;&gt;"",ROUND('Νέα ΦΣ'!I50*'Νέα ΦΣ'!M50,2),"")</f>
        <v/>
      </c>
      <c r="G53" s="3" t="str">
        <f>IF(B53&lt;&gt;"",ROUND('Συμβατικά ΦΣ'!L49*'Συμβατικά ΦΣ'!J49*'Γενικά Δεδομένα'!$I$6*365/1000,2),"")</f>
        <v/>
      </c>
      <c r="H53" s="3" t="str">
        <f>IF(B53&lt;&gt;"",IF('Νέα ΦΣ'!O50="ΝΑΙ",ROUND(0.85*F53*'Γενικά Δεδομένα'!$I$6*365/1000,2),ROUND(F53*'Γενικά Δεδομένα'!$I$6*365/1000,2)),"")</f>
        <v/>
      </c>
      <c r="I53" s="2" t="str">
        <f>IF(B53&lt;&gt;"",ROUND('Συμβατικά ΦΣ'!H49*'Γενικά Δεδομένα'!$I$9,2),"")</f>
        <v/>
      </c>
      <c r="J53" s="3" t="str">
        <f>IF(B53&lt;&gt;"",ROUND(('Νέα ΦΣ'!I50+'Νέα ΦΣ'!J50)*'Νέα ΦΣ'!N50,2),"")</f>
        <v/>
      </c>
      <c r="K53" s="3" t="str">
        <f>IF(B53&lt;&gt;"",ROUND(Βραχίονες!F53*'Γενικά Δεδομένα'!$I$10,2),"")</f>
        <v/>
      </c>
      <c r="L53" s="3" t="str">
        <f>IF(B53&lt;&gt;"",ROUND((Βραχίονες!F53+Βραχίονες!G53)*'Γενικά Δεδομένα'!$I$11,2),"")</f>
        <v/>
      </c>
      <c r="M53" s="13"/>
    </row>
    <row r="54" spans="2:13" ht="30" customHeight="1" x14ac:dyDescent="0.25">
      <c r="B54" s="12" t="str">
        <f>IF('Συμβατικά ΦΣ'!B50&lt;&gt;"",'Συμβατικά ΦΣ'!B50,"")</f>
        <v/>
      </c>
      <c r="C54" s="1" t="str">
        <f>IF(B54&lt;&gt;"",'Νέα ΦΣ'!C51,"")</f>
        <v/>
      </c>
      <c r="D54" s="1" t="str">
        <f>IF(B54&lt;&gt;"",Βραχίονες!D54,"")</f>
        <v/>
      </c>
      <c r="E54" s="3" t="str">
        <f>IF(B54&lt;&gt;"",ROUND('Συμβατικά ΦΣ'!H50*'Συμβατικά ΦΣ'!J50,2),"")</f>
        <v/>
      </c>
      <c r="F54" s="3" t="str">
        <f>IF(B54&lt;&gt;"",ROUND('Νέα ΦΣ'!I51*'Νέα ΦΣ'!M51,2),"")</f>
        <v/>
      </c>
      <c r="G54" s="3" t="str">
        <f>IF(B54&lt;&gt;"",ROUND('Συμβατικά ΦΣ'!L50*'Συμβατικά ΦΣ'!J50*'Γενικά Δεδομένα'!$I$6*365/1000,2),"")</f>
        <v/>
      </c>
      <c r="H54" s="3" t="str">
        <f>IF(B54&lt;&gt;"",IF('Νέα ΦΣ'!O51="ΝΑΙ",ROUND(0.85*F54*'Γενικά Δεδομένα'!$I$6*365/1000,2),ROUND(F54*'Γενικά Δεδομένα'!$I$6*365/1000,2)),"")</f>
        <v/>
      </c>
      <c r="I54" s="2" t="str">
        <f>IF(B54&lt;&gt;"",ROUND('Συμβατικά ΦΣ'!H50*'Γενικά Δεδομένα'!$I$9,2),"")</f>
        <v/>
      </c>
      <c r="J54" s="3" t="str">
        <f>IF(B54&lt;&gt;"",ROUND(('Νέα ΦΣ'!I51+'Νέα ΦΣ'!J51)*'Νέα ΦΣ'!N51,2),"")</f>
        <v/>
      </c>
      <c r="K54" s="3" t="str">
        <f>IF(B54&lt;&gt;"",ROUND(Βραχίονες!F54*'Γενικά Δεδομένα'!$I$10,2),"")</f>
        <v/>
      </c>
      <c r="L54" s="3" t="str">
        <f>IF(B54&lt;&gt;"",ROUND((Βραχίονες!F54+Βραχίονες!G54)*'Γενικά Δεδομένα'!$I$11,2),"")</f>
        <v/>
      </c>
      <c r="M54" s="13"/>
    </row>
    <row r="55" spans="2:13" ht="30" customHeight="1" x14ac:dyDescent="0.25">
      <c r="B55" s="12" t="str">
        <f>IF('Συμβατικά ΦΣ'!B51&lt;&gt;"",'Συμβατικά ΦΣ'!B51,"")</f>
        <v/>
      </c>
      <c r="C55" s="1" t="str">
        <f>IF(B55&lt;&gt;"",'Νέα ΦΣ'!C52,"")</f>
        <v/>
      </c>
      <c r="D55" s="1" t="str">
        <f>IF(B55&lt;&gt;"",Βραχίονες!D55,"")</f>
        <v/>
      </c>
      <c r="E55" s="3" t="str">
        <f>IF(B55&lt;&gt;"",ROUND('Συμβατικά ΦΣ'!H51*'Συμβατικά ΦΣ'!J51,2),"")</f>
        <v/>
      </c>
      <c r="F55" s="3" t="str">
        <f>IF(B55&lt;&gt;"",ROUND('Νέα ΦΣ'!I52*'Νέα ΦΣ'!M52,2),"")</f>
        <v/>
      </c>
      <c r="G55" s="3" t="str">
        <f>IF(B55&lt;&gt;"",ROUND('Συμβατικά ΦΣ'!L51*'Συμβατικά ΦΣ'!J51*'Γενικά Δεδομένα'!$I$6*365/1000,2),"")</f>
        <v/>
      </c>
      <c r="H55" s="3" t="str">
        <f>IF(B55&lt;&gt;"",IF('Νέα ΦΣ'!O52="ΝΑΙ",ROUND(0.85*F55*'Γενικά Δεδομένα'!$I$6*365/1000,2),ROUND(F55*'Γενικά Δεδομένα'!$I$6*365/1000,2)),"")</f>
        <v/>
      </c>
      <c r="I55" s="2" t="str">
        <f>IF(B55&lt;&gt;"",ROUND('Συμβατικά ΦΣ'!H51*'Γενικά Δεδομένα'!$I$9,2),"")</f>
        <v/>
      </c>
      <c r="J55" s="3" t="str">
        <f>IF(B55&lt;&gt;"",ROUND(('Νέα ΦΣ'!I52+'Νέα ΦΣ'!J52)*'Νέα ΦΣ'!N52,2),"")</f>
        <v/>
      </c>
      <c r="K55" s="3" t="str">
        <f>IF(B55&lt;&gt;"",ROUND(Βραχίονες!F55*'Γενικά Δεδομένα'!$I$10,2),"")</f>
        <v/>
      </c>
      <c r="L55" s="3" t="str">
        <f>IF(B55&lt;&gt;"",ROUND((Βραχίονες!F55+Βραχίονες!G55)*'Γενικά Δεδομένα'!$I$11,2),"")</f>
        <v/>
      </c>
      <c r="M55" s="13"/>
    </row>
    <row r="56" spans="2:13" ht="30" customHeight="1" x14ac:dyDescent="0.25">
      <c r="B56" s="12" t="str">
        <f>IF('Συμβατικά ΦΣ'!B52&lt;&gt;"",'Συμβατικά ΦΣ'!B52,"")</f>
        <v/>
      </c>
      <c r="C56" s="1" t="str">
        <f>IF(B56&lt;&gt;"",'Νέα ΦΣ'!C53,"")</f>
        <v/>
      </c>
      <c r="D56" s="1" t="str">
        <f>IF(B56&lt;&gt;"",Βραχίονες!D56,"")</f>
        <v/>
      </c>
      <c r="E56" s="3" t="str">
        <f>IF(B56&lt;&gt;"",ROUND('Συμβατικά ΦΣ'!H52*'Συμβατικά ΦΣ'!J52,2),"")</f>
        <v/>
      </c>
      <c r="F56" s="3" t="str">
        <f>IF(B56&lt;&gt;"",ROUND('Νέα ΦΣ'!I53*'Νέα ΦΣ'!M53,2),"")</f>
        <v/>
      </c>
      <c r="G56" s="3" t="str">
        <f>IF(B56&lt;&gt;"",ROUND('Συμβατικά ΦΣ'!L52*'Συμβατικά ΦΣ'!J52*'Γενικά Δεδομένα'!$I$6*365/1000,2),"")</f>
        <v/>
      </c>
      <c r="H56" s="3" t="str">
        <f>IF(B56&lt;&gt;"",IF('Νέα ΦΣ'!O53="ΝΑΙ",ROUND(0.85*F56*'Γενικά Δεδομένα'!$I$6*365/1000,2),ROUND(F56*'Γενικά Δεδομένα'!$I$6*365/1000,2)),"")</f>
        <v/>
      </c>
      <c r="I56" s="2" t="str">
        <f>IF(B56&lt;&gt;"",ROUND('Συμβατικά ΦΣ'!H52*'Γενικά Δεδομένα'!$I$9,2),"")</f>
        <v/>
      </c>
      <c r="J56" s="3" t="str">
        <f>IF(B56&lt;&gt;"",ROUND(('Νέα ΦΣ'!I53+'Νέα ΦΣ'!J53)*'Νέα ΦΣ'!N53,2),"")</f>
        <v/>
      </c>
      <c r="K56" s="3" t="str">
        <f>IF(B56&lt;&gt;"",ROUND(Βραχίονες!F56*'Γενικά Δεδομένα'!$I$10,2),"")</f>
        <v/>
      </c>
      <c r="L56" s="3" t="str">
        <f>IF(B56&lt;&gt;"",ROUND((Βραχίονες!F56+Βραχίονες!G56)*'Γενικά Δεδομένα'!$I$11,2),"")</f>
        <v/>
      </c>
      <c r="M56" s="13"/>
    </row>
    <row r="57" spans="2:13" ht="30" customHeight="1" x14ac:dyDescent="0.25">
      <c r="B57" s="12" t="str">
        <f>IF('Συμβατικά ΦΣ'!B53&lt;&gt;"",'Συμβατικά ΦΣ'!B53,"")</f>
        <v/>
      </c>
      <c r="C57" s="1" t="str">
        <f>IF(B57&lt;&gt;"",'Νέα ΦΣ'!C54,"")</f>
        <v/>
      </c>
      <c r="D57" s="1" t="str">
        <f>IF(B57&lt;&gt;"",Βραχίονες!D57,"")</f>
        <v/>
      </c>
      <c r="E57" s="3" t="str">
        <f>IF(B57&lt;&gt;"",ROUND('Συμβατικά ΦΣ'!H53*'Συμβατικά ΦΣ'!J53,2),"")</f>
        <v/>
      </c>
      <c r="F57" s="3" t="str">
        <f>IF(B57&lt;&gt;"",ROUND('Νέα ΦΣ'!I54*'Νέα ΦΣ'!M54,2),"")</f>
        <v/>
      </c>
      <c r="G57" s="3" t="str">
        <f>IF(B57&lt;&gt;"",ROUND('Συμβατικά ΦΣ'!L53*'Συμβατικά ΦΣ'!J53*'Γενικά Δεδομένα'!$I$6*365/1000,2),"")</f>
        <v/>
      </c>
      <c r="H57" s="3" t="str">
        <f>IF(B57&lt;&gt;"",IF('Νέα ΦΣ'!O54="ΝΑΙ",ROUND(0.85*F57*'Γενικά Δεδομένα'!$I$6*365/1000,2),ROUND(F57*'Γενικά Δεδομένα'!$I$6*365/1000,2)),"")</f>
        <v/>
      </c>
      <c r="I57" s="2" t="str">
        <f>IF(B57&lt;&gt;"",ROUND('Συμβατικά ΦΣ'!H53*'Γενικά Δεδομένα'!$I$9,2),"")</f>
        <v/>
      </c>
      <c r="J57" s="3" t="str">
        <f>IF(B57&lt;&gt;"",ROUND(('Νέα ΦΣ'!I54+'Νέα ΦΣ'!J54)*'Νέα ΦΣ'!N54,2),"")</f>
        <v/>
      </c>
      <c r="K57" s="3" t="str">
        <f>IF(B57&lt;&gt;"",ROUND(Βραχίονες!F57*'Γενικά Δεδομένα'!$I$10,2),"")</f>
        <v/>
      </c>
      <c r="L57" s="3" t="str">
        <f>IF(B57&lt;&gt;"",ROUND((Βραχίονες!F57+Βραχίονες!G57)*'Γενικά Δεδομένα'!$I$11,2),"")</f>
        <v/>
      </c>
      <c r="M57" s="13"/>
    </row>
    <row r="58" spans="2:13" ht="30" customHeight="1" x14ac:dyDescent="0.25">
      <c r="B58" s="12" t="str">
        <f>IF('Συμβατικά ΦΣ'!B54&lt;&gt;"",'Συμβατικά ΦΣ'!B54,"")</f>
        <v/>
      </c>
      <c r="C58" s="1" t="str">
        <f>IF(B58&lt;&gt;"",'Νέα ΦΣ'!C55,"")</f>
        <v/>
      </c>
      <c r="D58" s="1" t="str">
        <f>IF(B58&lt;&gt;"",Βραχίονες!D58,"")</f>
        <v/>
      </c>
      <c r="E58" s="3" t="str">
        <f>IF(B58&lt;&gt;"",ROUND('Συμβατικά ΦΣ'!H54*'Συμβατικά ΦΣ'!J54,2),"")</f>
        <v/>
      </c>
      <c r="F58" s="3" t="str">
        <f>IF(B58&lt;&gt;"",ROUND('Νέα ΦΣ'!I55*'Νέα ΦΣ'!M55,2),"")</f>
        <v/>
      </c>
      <c r="G58" s="3" t="str">
        <f>IF(B58&lt;&gt;"",ROUND('Συμβατικά ΦΣ'!L54*'Συμβατικά ΦΣ'!J54*'Γενικά Δεδομένα'!$I$6*365/1000,2),"")</f>
        <v/>
      </c>
      <c r="H58" s="3" t="str">
        <f>IF(B58&lt;&gt;"",IF('Νέα ΦΣ'!O55="ΝΑΙ",ROUND(0.85*F58*'Γενικά Δεδομένα'!$I$6*365/1000,2),ROUND(F58*'Γενικά Δεδομένα'!$I$6*365/1000,2)),"")</f>
        <v/>
      </c>
      <c r="I58" s="2" t="str">
        <f>IF(B58&lt;&gt;"",ROUND('Συμβατικά ΦΣ'!H54*'Γενικά Δεδομένα'!$I$9,2),"")</f>
        <v/>
      </c>
      <c r="J58" s="3" t="str">
        <f>IF(B58&lt;&gt;"",ROUND(('Νέα ΦΣ'!I55+'Νέα ΦΣ'!J55)*'Νέα ΦΣ'!N55,2),"")</f>
        <v/>
      </c>
      <c r="K58" s="3" t="str">
        <f>IF(B58&lt;&gt;"",ROUND(Βραχίονες!F58*'Γενικά Δεδομένα'!$I$10,2),"")</f>
        <v/>
      </c>
      <c r="L58" s="3" t="str">
        <f>IF(B58&lt;&gt;"",ROUND((Βραχίονες!F58+Βραχίονες!G58)*'Γενικά Δεδομένα'!$I$11,2),"")</f>
        <v/>
      </c>
      <c r="M58" s="13"/>
    </row>
    <row r="59" spans="2:13" ht="30" customHeight="1" x14ac:dyDescent="0.25">
      <c r="B59" s="12" t="str">
        <f>IF('Συμβατικά ΦΣ'!B55&lt;&gt;"",'Συμβατικά ΦΣ'!B55,"")</f>
        <v/>
      </c>
      <c r="C59" s="1" t="str">
        <f>IF(B59&lt;&gt;"",'Νέα ΦΣ'!C56,"")</f>
        <v/>
      </c>
      <c r="D59" s="1" t="str">
        <f>IF(B59&lt;&gt;"",Βραχίονες!D59,"")</f>
        <v/>
      </c>
      <c r="E59" s="3" t="str">
        <f>IF(B59&lt;&gt;"",ROUND('Συμβατικά ΦΣ'!H55*'Συμβατικά ΦΣ'!J55,2),"")</f>
        <v/>
      </c>
      <c r="F59" s="3" t="str">
        <f>IF(B59&lt;&gt;"",ROUND('Νέα ΦΣ'!I56*'Νέα ΦΣ'!M56,2),"")</f>
        <v/>
      </c>
      <c r="G59" s="3" t="str">
        <f>IF(B59&lt;&gt;"",ROUND('Συμβατικά ΦΣ'!L55*'Συμβατικά ΦΣ'!J55*'Γενικά Δεδομένα'!$I$6*365/1000,2),"")</f>
        <v/>
      </c>
      <c r="H59" s="3" t="str">
        <f>IF(B59&lt;&gt;"",IF('Νέα ΦΣ'!O56="ΝΑΙ",ROUND(0.85*F59*'Γενικά Δεδομένα'!$I$6*365/1000,2),ROUND(F59*'Γενικά Δεδομένα'!$I$6*365/1000,2)),"")</f>
        <v/>
      </c>
      <c r="I59" s="2" t="str">
        <f>IF(B59&lt;&gt;"",ROUND('Συμβατικά ΦΣ'!H55*'Γενικά Δεδομένα'!$I$9,2),"")</f>
        <v/>
      </c>
      <c r="J59" s="3" t="str">
        <f>IF(B59&lt;&gt;"",ROUND(('Νέα ΦΣ'!I56+'Νέα ΦΣ'!J56)*'Νέα ΦΣ'!N56,2),"")</f>
        <v/>
      </c>
      <c r="K59" s="3" t="str">
        <f>IF(B59&lt;&gt;"",ROUND(Βραχίονες!F59*'Γενικά Δεδομένα'!$I$10,2),"")</f>
        <v/>
      </c>
      <c r="L59" s="3" t="str">
        <f>IF(B59&lt;&gt;"",ROUND((Βραχίονες!F59+Βραχίονες!G59)*'Γενικά Δεδομένα'!$I$11,2),"")</f>
        <v/>
      </c>
      <c r="M59" s="13"/>
    </row>
    <row r="60" spans="2:13" ht="30" customHeight="1" x14ac:dyDescent="0.25">
      <c r="B60" s="12" t="str">
        <f>IF('Συμβατικά ΦΣ'!B56&lt;&gt;"",'Συμβατικά ΦΣ'!B56,"")</f>
        <v/>
      </c>
      <c r="C60" s="1" t="str">
        <f>IF(B60&lt;&gt;"",'Νέα ΦΣ'!C57,"")</f>
        <v/>
      </c>
      <c r="D60" s="1" t="str">
        <f>IF(B60&lt;&gt;"",Βραχίονες!D60,"")</f>
        <v/>
      </c>
      <c r="E60" s="3" t="str">
        <f>IF(B60&lt;&gt;"",ROUND('Συμβατικά ΦΣ'!H56*'Συμβατικά ΦΣ'!J56,2),"")</f>
        <v/>
      </c>
      <c r="F60" s="3" t="str">
        <f>IF(B60&lt;&gt;"",ROUND('Νέα ΦΣ'!I57*'Νέα ΦΣ'!M57,2),"")</f>
        <v/>
      </c>
      <c r="G60" s="3" t="str">
        <f>IF(B60&lt;&gt;"",ROUND('Συμβατικά ΦΣ'!L56*'Συμβατικά ΦΣ'!J56*'Γενικά Δεδομένα'!$I$6*365/1000,2),"")</f>
        <v/>
      </c>
      <c r="H60" s="3" t="str">
        <f>IF(B60&lt;&gt;"",IF('Νέα ΦΣ'!O57="ΝΑΙ",ROUND(0.85*F60*'Γενικά Δεδομένα'!$I$6*365/1000,2),ROUND(F60*'Γενικά Δεδομένα'!$I$6*365/1000,2)),"")</f>
        <v/>
      </c>
      <c r="I60" s="2" t="str">
        <f>IF(B60&lt;&gt;"",ROUND('Συμβατικά ΦΣ'!H56*'Γενικά Δεδομένα'!$I$9,2),"")</f>
        <v/>
      </c>
      <c r="J60" s="3" t="str">
        <f>IF(B60&lt;&gt;"",ROUND(('Νέα ΦΣ'!I57+'Νέα ΦΣ'!J57)*'Νέα ΦΣ'!N57,2),"")</f>
        <v/>
      </c>
      <c r="K60" s="3" t="str">
        <f>IF(B60&lt;&gt;"",ROUND(Βραχίονες!F60*'Γενικά Δεδομένα'!$I$10,2),"")</f>
        <v/>
      </c>
      <c r="L60" s="3" t="str">
        <f>IF(B60&lt;&gt;"",ROUND((Βραχίονες!F60+Βραχίονες!G60)*'Γενικά Δεδομένα'!$I$11,2),"")</f>
        <v/>
      </c>
      <c r="M60" s="13"/>
    </row>
    <row r="61" spans="2:13" ht="30" customHeight="1" x14ac:dyDescent="0.25">
      <c r="B61" s="12" t="str">
        <f>IF('Συμβατικά ΦΣ'!B57&lt;&gt;"",'Συμβατικά ΦΣ'!B57,"")</f>
        <v/>
      </c>
      <c r="C61" s="1" t="str">
        <f>IF(B61&lt;&gt;"",'Νέα ΦΣ'!C58,"")</f>
        <v/>
      </c>
      <c r="D61" s="1" t="str">
        <f>IF(B61&lt;&gt;"",Βραχίονες!D61,"")</f>
        <v/>
      </c>
      <c r="E61" s="3" t="str">
        <f>IF(B61&lt;&gt;"",ROUND('Συμβατικά ΦΣ'!H57*'Συμβατικά ΦΣ'!J57,2),"")</f>
        <v/>
      </c>
      <c r="F61" s="3" t="str">
        <f>IF(B61&lt;&gt;"",ROUND('Νέα ΦΣ'!I58*'Νέα ΦΣ'!M58,2),"")</f>
        <v/>
      </c>
      <c r="G61" s="3" t="str">
        <f>IF(B61&lt;&gt;"",ROUND('Συμβατικά ΦΣ'!L57*'Συμβατικά ΦΣ'!J57*'Γενικά Δεδομένα'!$I$6*365/1000,2),"")</f>
        <v/>
      </c>
      <c r="H61" s="3" t="str">
        <f>IF(B61&lt;&gt;"",IF('Νέα ΦΣ'!O58="ΝΑΙ",ROUND(0.85*F61*'Γενικά Δεδομένα'!$I$6*365/1000,2),ROUND(F61*'Γενικά Δεδομένα'!$I$6*365/1000,2)),"")</f>
        <v/>
      </c>
      <c r="I61" s="2" t="str">
        <f>IF(B61&lt;&gt;"",ROUND('Συμβατικά ΦΣ'!H57*'Γενικά Δεδομένα'!$I$9,2),"")</f>
        <v/>
      </c>
      <c r="J61" s="3" t="str">
        <f>IF(B61&lt;&gt;"",ROUND(('Νέα ΦΣ'!I58+'Νέα ΦΣ'!J58)*'Νέα ΦΣ'!N58,2),"")</f>
        <v/>
      </c>
      <c r="K61" s="3" t="str">
        <f>IF(B61&lt;&gt;"",ROUND(Βραχίονες!F61*'Γενικά Δεδομένα'!$I$10,2),"")</f>
        <v/>
      </c>
      <c r="L61" s="3" t="str">
        <f>IF(B61&lt;&gt;"",ROUND((Βραχίονες!F61+Βραχίονες!G61)*'Γενικά Δεδομένα'!$I$11,2),"")</f>
        <v/>
      </c>
      <c r="M61" s="13"/>
    </row>
    <row r="62" spans="2:13" ht="30" customHeight="1" x14ac:dyDescent="0.25">
      <c r="B62" s="12" t="str">
        <f>IF('Συμβατικά ΦΣ'!B58&lt;&gt;"",'Συμβατικά ΦΣ'!B58,"")</f>
        <v/>
      </c>
      <c r="C62" s="1" t="str">
        <f>IF(B62&lt;&gt;"",'Νέα ΦΣ'!C59,"")</f>
        <v/>
      </c>
      <c r="D62" s="1" t="str">
        <f>IF(B62&lt;&gt;"",Βραχίονες!D62,"")</f>
        <v/>
      </c>
      <c r="E62" s="3" t="str">
        <f>IF(B62&lt;&gt;"",ROUND('Συμβατικά ΦΣ'!H58*'Συμβατικά ΦΣ'!J58,2),"")</f>
        <v/>
      </c>
      <c r="F62" s="3" t="str">
        <f>IF(B62&lt;&gt;"",ROUND('Νέα ΦΣ'!I59*'Νέα ΦΣ'!M59,2),"")</f>
        <v/>
      </c>
      <c r="G62" s="3" t="str">
        <f>IF(B62&lt;&gt;"",ROUND('Συμβατικά ΦΣ'!L58*'Συμβατικά ΦΣ'!J58*'Γενικά Δεδομένα'!$I$6*365/1000,2),"")</f>
        <v/>
      </c>
      <c r="H62" s="3" t="str">
        <f>IF(B62&lt;&gt;"",IF('Νέα ΦΣ'!O59="ΝΑΙ",ROUND(0.85*F62*'Γενικά Δεδομένα'!$I$6*365/1000,2),ROUND(F62*'Γενικά Δεδομένα'!$I$6*365/1000,2)),"")</f>
        <v/>
      </c>
      <c r="I62" s="2" t="str">
        <f>IF(B62&lt;&gt;"",ROUND('Συμβατικά ΦΣ'!H58*'Γενικά Δεδομένα'!$I$9,2),"")</f>
        <v/>
      </c>
      <c r="J62" s="3" t="str">
        <f>IF(B62&lt;&gt;"",ROUND(('Νέα ΦΣ'!I59+'Νέα ΦΣ'!J59)*'Νέα ΦΣ'!N59,2),"")</f>
        <v/>
      </c>
      <c r="K62" s="3" t="str">
        <f>IF(B62&lt;&gt;"",ROUND(Βραχίονες!F62*'Γενικά Δεδομένα'!$I$10,2),"")</f>
        <v/>
      </c>
      <c r="L62" s="3" t="str">
        <f>IF(B62&lt;&gt;"",ROUND((Βραχίονες!F62+Βραχίονες!G62)*'Γενικά Δεδομένα'!$I$11,2),"")</f>
        <v/>
      </c>
      <c r="M62" s="13"/>
    </row>
    <row r="63" spans="2:13" ht="30" customHeight="1" thickBot="1" x14ac:dyDescent="0.3">
      <c r="B63" s="12" t="str">
        <f>IF('Συμβατικά ΦΣ'!B59&lt;&gt;"",'Συμβατικά ΦΣ'!B59,"")</f>
        <v/>
      </c>
      <c r="C63" s="1" t="str">
        <f>IF(B63&lt;&gt;"",'Νέα ΦΣ'!C60,"")</f>
        <v/>
      </c>
      <c r="D63" s="1" t="str">
        <f>IF(B63&lt;&gt;"",Βραχίονες!D63,"")</f>
        <v/>
      </c>
      <c r="E63" s="3" t="str">
        <f>IF(B63&lt;&gt;"",ROUND('Συμβατικά ΦΣ'!H59*'Συμβατικά ΦΣ'!J59,2),"")</f>
        <v/>
      </c>
      <c r="F63" s="3" t="str">
        <f>IF(B63&lt;&gt;"",ROUND('Νέα ΦΣ'!I60*'Νέα ΦΣ'!M60,2),"")</f>
        <v/>
      </c>
      <c r="G63" s="3" t="str">
        <f>IF(B63&lt;&gt;"",ROUND('Συμβατικά ΦΣ'!L59*'Συμβατικά ΦΣ'!J59*'Γενικά Δεδομένα'!$I$6*365/1000,2),"")</f>
        <v/>
      </c>
      <c r="H63" s="3" t="str">
        <f>IF(B63&lt;&gt;"",IF('Νέα ΦΣ'!O60="ΝΑΙ",ROUND(0.85*F63*'Γενικά Δεδομένα'!$I$6*365/1000,2),ROUND(F63*'Γενικά Δεδομένα'!$I$6*365/1000,2)),"")</f>
        <v/>
      </c>
      <c r="I63" s="2" t="str">
        <f>IF(B63&lt;&gt;"",ROUND('Συμβατικά ΦΣ'!H59*'Γενικά Δεδομένα'!$I$9,2),"")</f>
        <v/>
      </c>
      <c r="J63" s="3" t="str">
        <f>IF(B63&lt;&gt;"",ROUND(('Νέα ΦΣ'!I60+'Νέα ΦΣ'!J60)*'Νέα ΦΣ'!N60,2),"")</f>
        <v/>
      </c>
      <c r="K63" s="3" t="str">
        <f>IF(B63&lt;&gt;"",ROUND(Βραχίονες!F63*'Γενικά Δεδομένα'!$I$10,2),"")</f>
        <v/>
      </c>
      <c r="L63" s="3" t="str">
        <f>IF(B63&lt;&gt;"",ROUND((Βραχίονες!F63+Βραχίονες!G63)*'Γενικά Δεδομένα'!$I$11,2),"")</f>
        <v/>
      </c>
      <c r="M63" s="14"/>
    </row>
  </sheetData>
  <sheetProtection algorithmName="SHA-512" hashValue="7OL2Y6yM3sY2NPAoawQT4INRTpXfm7OkMQ9DM5s//82pBd5CrRcn5XgiHI9/5pCLoLn//RPgR6VudcYuP3CQSg==" saltValue="e1coV6c0Zd9XmnJ/k06hDQ==" spinCount="100000" sheet="1" objects="1" scenarios="1"/>
  <dataConsolidate/>
  <mergeCells count="1">
    <mergeCell ref="B2:M2"/>
  </mergeCells>
  <pageMargins left="0.7" right="0.7" top="0.75" bottom="0.75" header="0.3" footer="0.3"/>
  <pageSetup paperSize="9"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44"/>
  <sheetViews>
    <sheetView topLeftCell="B4" workbookViewId="0">
      <selection activeCell="I14" sqref="I14"/>
    </sheetView>
  </sheetViews>
  <sheetFormatPr defaultColWidth="8.85546875" defaultRowHeight="15" x14ac:dyDescent="0.25"/>
  <cols>
    <col min="1" max="1" width="3.7109375" style="53" customWidth="1"/>
    <col min="2" max="2" width="47.7109375" style="53" customWidth="1"/>
    <col min="3" max="3" width="14.7109375" style="53" customWidth="1"/>
    <col min="4" max="4" width="8.85546875" style="53"/>
    <col min="5" max="5" width="7.140625" style="53" customWidth="1"/>
    <col min="6" max="6" width="15.7109375" style="69" customWidth="1"/>
    <col min="7" max="8" width="15.7109375" style="53" customWidth="1"/>
    <col min="9" max="9" width="15.85546875" style="53" customWidth="1"/>
    <col min="10" max="12" width="16.42578125" style="53" customWidth="1"/>
    <col min="13" max="13" width="12.85546875" style="53" customWidth="1"/>
    <col min="14" max="14" width="16.42578125" style="53" customWidth="1"/>
    <col min="15" max="15" width="13.28515625" style="53" customWidth="1"/>
    <col min="16" max="16" width="32.85546875" style="53" customWidth="1"/>
    <col min="17" max="16384" width="8.85546875" style="53"/>
  </cols>
  <sheetData>
    <row r="2" spans="1:16" x14ac:dyDescent="0.25">
      <c r="A2" s="89" t="s">
        <v>18</v>
      </c>
      <c r="B2" s="90" t="s">
        <v>148</v>
      </c>
      <c r="C2" s="89" t="s">
        <v>149</v>
      </c>
      <c r="F2" s="93"/>
      <c r="G2" s="94"/>
      <c r="H2" s="296"/>
      <c r="I2" s="296"/>
    </row>
    <row r="3" spans="1:16" x14ac:dyDescent="0.25">
      <c r="A3" s="187" t="s">
        <v>136</v>
      </c>
      <c r="B3" s="131" t="s">
        <v>265</v>
      </c>
      <c r="C3" s="132">
        <f>+'Γενικά Δεδομένα'!I22</f>
        <v>15</v>
      </c>
      <c r="E3" s="70"/>
      <c r="J3" s="70"/>
      <c r="K3" s="70"/>
      <c r="L3" s="70"/>
      <c r="M3" s="70"/>
      <c r="N3" s="70"/>
      <c r="O3" s="70"/>
      <c r="P3" s="70"/>
    </row>
    <row r="4" spans="1:16" ht="89.25" x14ac:dyDescent="0.25">
      <c r="A4" s="187" t="s">
        <v>137</v>
      </c>
      <c r="B4" s="71" t="s">
        <v>118</v>
      </c>
      <c r="C4" s="72">
        <f>+Αποτελέσματα!H6</f>
        <v>6543156.9899999993</v>
      </c>
      <c r="E4" s="73" t="s">
        <v>126</v>
      </c>
      <c r="F4" s="74" t="s">
        <v>151</v>
      </c>
      <c r="G4" s="75" t="s">
        <v>150</v>
      </c>
      <c r="H4" s="75" t="s">
        <v>133</v>
      </c>
      <c r="I4" s="75" t="s">
        <v>152</v>
      </c>
      <c r="J4" s="75" t="s">
        <v>134</v>
      </c>
      <c r="K4" s="75" t="s">
        <v>135</v>
      </c>
      <c r="L4" s="75" t="s">
        <v>156</v>
      </c>
      <c r="M4" s="75" t="s">
        <v>164</v>
      </c>
      <c r="N4" s="75" t="s">
        <v>266</v>
      </c>
      <c r="O4" s="75" t="s">
        <v>153</v>
      </c>
      <c r="P4" s="70"/>
    </row>
    <row r="5" spans="1:16" ht="34.9" customHeight="1" x14ac:dyDescent="0.25">
      <c r="A5" s="187" t="s">
        <v>138</v>
      </c>
      <c r="B5" s="71" t="s">
        <v>109</v>
      </c>
      <c r="C5" s="72">
        <f>+Αποτελέσματα!H12</f>
        <v>2441285.54</v>
      </c>
      <c r="E5" s="76"/>
      <c r="F5" s="77"/>
      <c r="G5" s="76"/>
      <c r="H5" s="76"/>
      <c r="I5" s="76"/>
      <c r="J5" s="76"/>
      <c r="K5" s="76"/>
      <c r="L5" s="76"/>
      <c r="M5" s="76"/>
      <c r="N5" s="76"/>
      <c r="O5" s="76"/>
      <c r="P5" s="70"/>
    </row>
    <row r="6" spans="1:16" ht="26.25" x14ac:dyDescent="0.25">
      <c r="A6" s="187" t="s">
        <v>139</v>
      </c>
      <c r="B6" s="71" t="s">
        <v>119</v>
      </c>
      <c r="C6" s="78">
        <f>+Αποτελέσματα!H7</f>
        <v>981473.55</v>
      </c>
      <c r="E6" s="79">
        <f>IF(OR(C3="",C3=0),"",1)</f>
        <v>1</v>
      </c>
      <c r="F6" s="80">
        <v>0</v>
      </c>
      <c r="G6" s="81">
        <f>IF(E6&lt;&gt;"",I6-H6,"")</f>
        <v>-4535638.5199999996</v>
      </c>
      <c r="H6" s="81">
        <f>J6+L6+M6</f>
        <v>4535638.5199999996</v>
      </c>
      <c r="I6" s="81">
        <f>N6</f>
        <v>0</v>
      </c>
      <c r="J6" s="81">
        <f>IF(E6="","",IF(Δάνειο!I5="",0,Δάνειο!I5))</f>
        <v>0</v>
      </c>
      <c r="K6" s="81">
        <v>0</v>
      </c>
      <c r="L6" s="81">
        <v>0</v>
      </c>
      <c r="M6" s="81">
        <f>C12</f>
        <v>4535638.5199999996</v>
      </c>
      <c r="N6" s="81">
        <v>0</v>
      </c>
      <c r="O6" s="82" t="str">
        <f>IF(J6=0,"",(I6-L6)/J6)</f>
        <v/>
      </c>
    </row>
    <row r="7" spans="1:16" ht="26.25" x14ac:dyDescent="0.25">
      <c r="A7" s="187" t="s">
        <v>140</v>
      </c>
      <c r="B7" s="71" t="s">
        <v>110</v>
      </c>
      <c r="C7" s="78">
        <f>+Αποτελέσματα!H13</f>
        <v>366192.83</v>
      </c>
      <c r="E7" s="79">
        <f t="shared" ref="E7:E20" si="0">IF(OR(E6=$C$3,E6=""),"",E6+1)</f>
        <v>2</v>
      </c>
      <c r="F7" s="72">
        <f>IF(E7="","",$C$4-$C$5)</f>
        <v>4101871.4499999993</v>
      </c>
      <c r="G7" s="81">
        <f>IF(E7&lt;&gt;"",I7-H7,"")</f>
        <v>845280.71900000004</v>
      </c>
      <c r="H7" s="81">
        <f>IF(E7&lt;&gt;"",J7+L7+M7,"")</f>
        <v>366192.83100000001</v>
      </c>
      <c r="I7" s="81">
        <f>N7</f>
        <v>1211473.55</v>
      </c>
      <c r="J7" s="81">
        <f>IF(E7="","",IF(Δάνειο!I6="",0,Δάνειο!I6))</f>
        <v>0</v>
      </c>
      <c r="K7" s="81">
        <f>IF(E7&lt;&gt;"",Αποτελέσματα!$H$12*'Γενικά Δεδομένα'!$I$4,"")</f>
        <v>366192.83100000001</v>
      </c>
      <c r="L7" s="81">
        <f>IF(E7="","",K7+$C$9)</f>
        <v>366192.83100000001</v>
      </c>
      <c r="M7" s="81"/>
      <c r="N7" s="81">
        <f t="shared" ref="N7:N20" si="1">IF($E7="","",$C$6+$C$8)</f>
        <v>1211473.55</v>
      </c>
      <c r="O7" s="82" t="str">
        <f>IF(ISERROR((I7-L7)/J7),"",IF(E7="","",(I7-L7)/J7))</f>
        <v/>
      </c>
      <c r="P7" s="70"/>
    </row>
    <row r="8" spans="1:16" ht="26.25" x14ac:dyDescent="0.25">
      <c r="A8" s="187" t="s">
        <v>141</v>
      </c>
      <c r="B8" s="133" t="s">
        <v>111</v>
      </c>
      <c r="C8" s="134">
        <f>'Γενικά Δεδομένα'!I23</f>
        <v>230000</v>
      </c>
      <c r="E8" s="79">
        <f t="shared" si="0"/>
        <v>3</v>
      </c>
      <c r="F8" s="72">
        <f t="shared" ref="F8:F15" si="2">IF(E8="","",$C$4-$C$5)</f>
        <v>4101871.4499999993</v>
      </c>
      <c r="G8" s="81">
        <f t="shared" ref="G8:G20" si="3">IF(E8&lt;&gt;"",I8-H8,"")</f>
        <v>843815.94767599995</v>
      </c>
      <c r="H8" s="81">
        <f t="shared" ref="H8:H20" si="4">IF(E8&lt;&gt;"",J8+L8+M8,"")</f>
        <v>367657.60232400004</v>
      </c>
      <c r="I8" s="81">
        <f t="shared" ref="I8:I15" si="5">N8</f>
        <v>1211473.55</v>
      </c>
      <c r="J8" s="81">
        <f>IF(E8="","",IF(Δάνειο!I7="",0,Δάνειο!I7))</f>
        <v>0</v>
      </c>
      <c r="K8" s="81">
        <f>IF(E8&lt;&gt;"",K7*(1+'Γενικά Δεδομένα'!$I$5),"")</f>
        <v>367657.60232400004</v>
      </c>
      <c r="L8" s="81">
        <f t="shared" ref="L8:L15" si="6">IF(E8="","",K8+$C$9)</f>
        <v>367657.60232400004</v>
      </c>
      <c r="M8" s="81"/>
      <c r="N8" s="81">
        <f t="shared" si="1"/>
        <v>1211473.55</v>
      </c>
      <c r="O8" s="82" t="str">
        <f t="shared" ref="O8:O13" si="7">IF(ISERROR((I8-L8)/J8),"",IF(E8="","",(I8-L8)/J8))</f>
        <v/>
      </c>
      <c r="P8" s="70"/>
    </row>
    <row r="9" spans="1:16" x14ac:dyDescent="0.25">
      <c r="A9" s="187" t="s">
        <v>142</v>
      </c>
      <c r="B9" s="71" t="s">
        <v>112</v>
      </c>
      <c r="C9" s="78">
        <v>0</v>
      </c>
      <c r="E9" s="79">
        <f t="shared" si="0"/>
        <v>4</v>
      </c>
      <c r="F9" s="72">
        <f t="shared" si="2"/>
        <v>4101871.4499999993</v>
      </c>
      <c r="G9" s="81">
        <f t="shared" si="3"/>
        <v>842345.31726670405</v>
      </c>
      <c r="H9" s="81">
        <f t="shared" si="4"/>
        <v>369128.23273329606</v>
      </c>
      <c r="I9" s="81">
        <f t="shared" si="5"/>
        <v>1211473.55</v>
      </c>
      <c r="J9" s="81">
        <f>IF(E9="","",IF(Δάνειο!I8="",0,Δάνειο!I8))</f>
        <v>0</v>
      </c>
      <c r="K9" s="81">
        <f>IF(E9&lt;&gt;"",K8*(1+'Γενικά Δεδομένα'!$I$5),"")</f>
        <v>369128.23273329606</v>
      </c>
      <c r="L9" s="81">
        <f t="shared" si="6"/>
        <v>369128.23273329606</v>
      </c>
      <c r="M9" s="81"/>
      <c r="N9" s="81">
        <f t="shared" si="1"/>
        <v>1211473.55</v>
      </c>
      <c r="O9" s="82" t="str">
        <f t="shared" si="7"/>
        <v/>
      </c>
      <c r="P9" s="70"/>
    </row>
    <row r="10" spans="1:16" x14ac:dyDescent="0.25">
      <c r="A10" s="187" t="s">
        <v>143</v>
      </c>
      <c r="B10" s="83" t="s">
        <v>113</v>
      </c>
      <c r="C10" s="78">
        <f>+Αποτελέσματα!H39</f>
        <v>4535638.5199999996</v>
      </c>
      <c r="E10" s="79">
        <f t="shared" si="0"/>
        <v>5</v>
      </c>
      <c r="F10" s="72">
        <f t="shared" si="2"/>
        <v>4101871.4499999993</v>
      </c>
      <c r="G10" s="81">
        <f t="shared" si="3"/>
        <v>840868.80433577078</v>
      </c>
      <c r="H10" s="81">
        <f t="shared" si="4"/>
        <v>370604.74566422927</v>
      </c>
      <c r="I10" s="81">
        <f t="shared" si="5"/>
        <v>1211473.55</v>
      </c>
      <c r="J10" s="81">
        <f>IF(E10="","",IF(Δάνειο!I9="",0,Δάνειο!I9))</f>
        <v>0</v>
      </c>
      <c r="K10" s="81">
        <f>IF(E10&lt;&gt;"",K9*(1+'Γενικά Δεδομένα'!$I$5),"")</f>
        <v>370604.74566422927</v>
      </c>
      <c r="L10" s="81">
        <f t="shared" si="6"/>
        <v>370604.74566422927</v>
      </c>
      <c r="M10" s="81"/>
      <c r="N10" s="81">
        <f t="shared" si="1"/>
        <v>1211473.55</v>
      </c>
      <c r="O10" s="82" t="str">
        <f t="shared" si="7"/>
        <v/>
      </c>
      <c r="P10" s="70"/>
    </row>
    <row r="11" spans="1:16" x14ac:dyDescent="0.25">
      <c r="A11" s="187" t="s">
        <v>145</v>
      </c>
      <c r="B11" s="83" t="s">
        <v>114</v>
      </c>
      <c r="C11" s="78">
        <f>0</f>
        <v>0</v>
      </c>
      <c r="E11" s="79">
        <f t="shared" si="0"/>
        <v>6</v>
      </c>
      <c r="F11" s="72">
        <f t="shared" si="2"/>
        <v>4101871.4499999993</v>
      </c>
      <c r="G11" s="81">
        <f t="shared" si="3"/>
        <v>839386.38535311387</v>
      </c>
      <c r="H11" s="81">
        <f t="shared" si="4"/>
        <v>372087.16464688617</v>
      </c>
      <c r="I11" s="81">
        <f t="shared" si="5"/>
        <v>1211473.55</v>
      </c>
      <c r="J11" s="81">
        <f>IF(E11="","",IF(Δάνειο!I10="",0,Δάνειο!I10))</f>
        <v>0</v>
      </c>
      <c r="K11" s="81">
        <f>IF(E11&lt;&gt;"",K10*(1+'Γενικά Δεδομένα'!$I$5),"")</f>
        <v>372087.16464688617</v>
      </c>
      <c r="L11" s="81">
        <f t="shared" si="6"/>
        <v>372087.16464688617</v>
      </c>
      <c r="M11" s="81"/>
      <c r="N11" s="81">
        <f t="shared" si="1"/>
        <v>1211473.55</v>
      </c>
      <c r="O11" s="82" t="str">
        <f t="shared" si="7"/>
        <v/>
      </c>
      <c r="P11" s="70"/>
    </row>
    <row r="12" spans="1:16" x14ac:dyDescent="0.25">
      <c r="A12" s="187" t="s">
        <v>144</v>
      </c>
      <c r="B12" s="83" t="s">
        <v>115</v>
      </c>
      <c r="C12" s="78">
        <f>C10-C11</f>
        <v>4535638.5199999996</v>
      </c>
      <c r="E12" s="79">
        <f t="shared" si="0"/>
        <v>7</v>
      </c>
      <c r="F12" s="72">
        <f t="shared" si="2"/>
        <v>4101871.4499999993</v>
      </c>
      <c r="G12" s="81">
        <f t="shared" si="3"/>
        <v>837898.03669452632</v>
      </c>
      <c r="H12" s="81">
        <f t="shared" si="4"/>
        <v>373575.51330547372</v>
      </c>
      <c r="I12" s="81">
        <f t="shared" si="5"/>
        <v>1211473.55</v>
      </c>
      <c r="J12" s="81">
        <f>IF(E12="","",IF(Δάνειο!I11="",0,Δάνειο!I11))</f>
        <v>0</v>
      </c>
      <c r="K12" s="81">
        <f>IF(E12&lt;&gt;"",K11*(1+'Γενικά Δεδομένα'!$I$5),"")</f>
        <v>373575.51330547372</v>
      </c>
      <c r="L12" s="81">
        <f t="shared" si="6"/>
        <v>373575.51330547372</v>
      </c>
      <c r="M12" s="81"/>
      <c r="N12" s="81">
        <f t="shared" si="1"/>
        <v>1211473.55</v>
      </c>
      <c r="O12" s="82" t="str">
        <f t="shared" si="7"/>
        <v/>
      </c>
      <c r="P12" s="70"/>
    </row>
    <row r="13" spans="1:16" x14ac:dyDescent="0.25">
      <c r="A13" s="187" t="s">
        <v>146</v>
      </c>
      <c r="B13" s="83" t="s">
        <v>116</v>
      </c>
      <c r="C13" s="84">
        <f>IF(ISERROR(IRR(G6:G20)),"Μη Διαθέσιμο",IRR(G6:G20))</f>
        <v>0.16251788012765589</v>
      </c>
      <c r="E13" s="79">
        <f t="shared" si="0"/>
        <v>8</v>
      </c>
      <c r="F13" s="72">
        <f t="shared" si="2"/>
        <v>4101871.4499999993</v>
      </c>
      <c r="G13" s="81">
        <f t="shared" si="3"/>
        <v>836403.73464130447</v>
      </c>
      <c r="H13" s="81">
        <f t="shared" si="4"/>
        <v>375069.81535869563</v>
      </c>
      <c r="I13" s="81">
        <f t="shared" si="5"/>
        <v>1211473.55</v>
      </c>
      <c r="J13" s="81">
        <f>IF(E13="","",IF(Δάνειο!I12="",0,Δάνειο!I12))</f>
        <v>0</v>
      </c>
      <c r="K13" s="81">
        <f>IF(E13&lt;&gt;"",K12*(1+'Γενικά Δεδομένα'!$I$5),"")</f>
        <v>375069.81535869563</v>
      </c>
      <c r="L13" s="81">
        <f t="shared" si="6"/>
        <v>375069.81535869563</v>
      </c>
      <c r="M13" s="81"/>
      <c r="N13" s="81">
        <f t="shared" si="1"/>
        <v>1211473.55</v>
      </c>
      <c r="O13" s="82" t="str">
        <f t="shared" si="7"/>
        <v/>
      </c>
      <c r="P13" s="70"/>
    </row>
    <row r="14" spans="1:16" x14ac:dyDescent="0.25">
      <c r="A14" s="187" t="s">
        <v>147</v>
      </c>
      <c r="B14" s="83" t="s">
        <v>167</v>
      </c>
      <c r="C14" s="98">
        <f>NPV(C15,G6:G20)</f>
        <v>3568951.3786322344</v>
      </c>
      <c r="E14" s="79">
        <f t="shared" si="0"/>
        <v>9</v>
      </c>
      <c r="F14" s="72">
        <f t="shared" si="2"/>
        <v>4101871.4499999993</v>
      </c>
      <c r="G14" s="81">
        <f t="shared" si="3"/>
        <v>834903.45537986956</v>
      </c>
      <c r="H14" s="81">
        <f t="shared" si="4"/>
        <v>376570.09462013043</v>
      </c>
      <c r="I14" s="81">
        <f t="shared" si="5"/>
        <v>1211473.55</v>
      </c>
      <c r="J14" s="81">
        <f>IF(E14="","",IF(Δάνειο!I13="",0,Δάνειο!I13))</f>
        <v>0</v>
      </c>
      <c r="K14" s="81">
        <f>IF(E14&lt;&gt;"",K13*(1+'Γενικά Δεδομένα'!$I$5),"")</f>
        <v>376570.09462013043</v>
      </c>
      <c r="L14" s="81">
        <f t="shared" si="6"/>
        <v>376570.09462013043</v>
      </c>
      <c r="M14" s="81"/>
      <c r="N14" s="81">
        <f t="shared" si="1"/>
        <v>1211473.55</v>
      </c>
      <c r="O14" s="82" t="str">
        <f>IF(ISERROR((I14-L14)/J14),"",IF(E14="","",(I14-L14)/J14))</f>
        <v/>
      </c>
      <c r="P14" s="70"/>
    </row>
    <row r="15" spans="1:16" x14ac:dyDescent="0.25">
      <c r="A15" s="99" t="s">
        <v>168</v>
      </c>
      <c r="B15" s="83" t="s">
        <v>89</v>
      </c>
      <c r="C15" s="85">
        <v>0.05</v>
      </c>
      <c r="E15" s="79">
        <f t="shared" si="0"/>
        <v>10</v>
      </c>
      <c r="F15" s="72">
        <f t="shared" si="2"/>
        <v>4101871.4499999993</v>
      </c>
      <c r="G15" s="81">
        <f t="shared" si="3"/>
        <v>833397.17500138911</v>
      </c>
      <c r="H15" s="81">
        <f t="shared" si="4"/>
        <v>378076.37499861093</v>
      </c>
      <c r="I15" s="81">
        <f t="shared" si="5"/>
        <v>1211473.55</v>
      </c>
      <c r="J15" s="81">
        <f>IF(E15="","",IF(Δάνειο!I14="",0,Δάνειο!I14))</f>
        <v>0</v>
      </c>
      <c r="K15" s="81">
        <f>IF(E15&lt;&gt;"",K14*(1+'Γενικά Δεδομένα'!$I$5),"")</f>
        <v>378076.37499861093</v>
      </c>
      <c r="L15" s="81">
        <f t="shared" si="6"/>
        <v>378076.37499861093</v>
      </c>
      <c r="M15" s="81"/>
      <c r="N15" s="81">
        <f t="shared" si="1"/>
        <v>1211473.55</v>
      </c>
      <c r="O15" s="82" t="str">
        <f t="shared" ref="O15:O20" si="8">IF(ISERROR((I15-L15)/J15),"",IF(E15="","",(I15-L15)/J15))</f>
        <v/>
      </c>
      <c r="P15" s="70"/>
    </row>
    <row r="16" spans="1:16" x14ac:dyDescent="0.25">
      <c r="E16" s="79">
        <f t="shared" si="0"/>
        <v>11</v>
      </c>
      <c r="F16" s="72">
        <f t="shared" ref="F16:F20" si="9">IF(E16="","",$C$4-$C$5)</f>
        <v>4101871.4499999993</v>
      </c>
      <c r="G16" s="81">
        <f t="shared" si="3"/>
        <v>831884.86950139469</v>
      </c>
      <c r="H16" s="81">
        <f t="shared" si="4"/>
        <v>379588.68049860536</v>
      </c>
      <c r="I16" s="81">
        <f t="shared" ref="I16:I20" si="10">N16</f>
        <v>1211473.55</v>
      </c>
      <c r="J16" s="81">
        <f>IF(E16="","",IF(Δάνειο!I15="",0,Δάνειο!I15))</f>
        <v>0</v>
      </c>
      <c r="K16" s="81">
        <f>IF(E16&lt;&gt;"",K15*(1+'Γενικά Δεδομένα'!$I$5),"")</f>
        <v>379588.68049860536</v>
      </c>
      <c r="L16" s="81">
        <f t="shared" ref="L16:L20" si="11">IF(E16="","",K16+$C$9)</f>
        <v>379588.68049860536</v>
      </c>
      <c r="M16" s="81"/>
      <c r="N16" s="81">
        <f t="shared" si="1"/>
        <v>1211473.55</v>
      </c>
      <c r="O16" s="82" t="str">
        <f t="shared" si="8"/>
        <v/>
      </c>
      <c r="P16" s="70"/>
    </row>
    <row r="17" spans="5:16" x14ac:dyDescent="0.25">
      <c r="E17" s="79">
        <f t="shared" si="0"/>
        <v>12</v>
      </c>
      <c r="F17" s="72">
        <f t="shared" si="9"/>
        <v>4101871.4499999993</v>
      </c>
      <c r="G17" s="81">
        <f t="shared" si="3"/>
        <v>830366.51477940031</v>
      </c>
      <c r="H17" s="81">
        <f t="shared" si="4"/>
        <v>381107.03522059979</v>
      </c>
      <c r="I17" s="81">
        <f t="shared" si="10"/>
        <v>1211473.55</v>
      </c>
      <c r="J17" s="81">
        <f>IF(E17="","",IF(Δάνειο!I16="",0,Δάνειο!I16))</f>
        <v>0</v>
      </c>
      <c r="K17" s="81">
        <f>IF(E17&lt;&gt;"",K16*(1+'Γενικά Δεδομένα'!$I$5),"")</f>
        <v>381107.03522059979</v>
      </c>
      <c r="L17" s="81">
        <f t="shared" si="11"/>
        <v>381107.03522059979</v>
      </c>
      <c r="M17" s="81"/>
      <c r="N17" s="81">
        <f t="shared" si="1"/>
        <v>1211473.55</v>
      </c>
      <c r="O17" s="82" t="str">
        <f t="shared" si="8"/>
        <v/>
      </c>
      <c r="P17" s="70"/>
    </row>
    <row r="18" spans="5:16" x14ac:dyDescent="0.25">
      <c r="E18" s="79">
        <f t="shared" si="0"/>
        <v>13</v>
      </c>
      <c r="F18" s="72">
        <f t="shared" si="9"/>
        <v>4101871.4499999993</v>
      </c>
      <c r="G18" s="81">
        <f t="shared" si="3"/>
        <v>828842.08663851791</v>
      </c>
      <c r="H18" s="81">
        <f t="shared" si="4"/>
        <v>382631.46336148219</v>
      </c>
      <c r="I18" s="81">
        <f t="shared" si="10"/>
        <v>1211473.55</v>
      </c>
      <c r="J18" s="81">
        <f>IF(E18="","",IF(Δάνειο!I17="",0,Δάνειο!I17))</f>
        <v>0</v>
      </c>
      <c r="K18" s="81">
        <f>IF(E18&lt;&gt;"",K17*(1+'Γενικά Δεδομένα'!$I$5),"")</f>
        <v>382631.46336148219</v>
      </c>
      <c r="L18" s="81">
        <f t="shared" si="11"/>
        <v>382631.46336148219</v>
      </c>
      <c r="M18" s="81"/>
      <c r="N18" s="81">
        <f t="shared" si="1"/>
        <v>1211473.55</v>
      </c>
      <c r="O18" s="82" t="str">
        <f t="shared" si="8"/>
        <v/>
      </c>
      <c r="P18" s="70"/>
    </row>
    <row r="19" spans="5:16" x14ac:dyDescent="0.25">
      <c r="E19" s="79">
        <f t="shared" si="0"/>
        <v>14</v>
      </c>
      <c r="F19" s="72">
        <f t="shared" si="9"/>
        <v>4101871.4499999993</v>
      </c>
      <c r="G19" s="81">
        <f t="shared" si="3"/>
        <v>827311.56078507192</v>
      </c>
      <c r="H19" s="81">
        <f t="shared" si="4"/>
        <v>384161.98921492812</v>
      </c>
      <c r="I19" s="81">
        <f t="shared" si="10"/>
        <v>1211473.55</v>
      </c>
      <c r="J19" s="81">
        <f>IF(E19="","",IF(Δάνειο!I18="",0,Δάνειο!I18))</f>
        <v>0</v>
      </c>
      <c r="K19" s="81">
        <f>IF(E19&lt;&gt;"",K18*(1+'Γενικά Δεδομένα'!$I$5),"")</f>
        <v>384161.98921492812</v>
      </c>
      <c r="L19" s="81">
        <f t="shared" si="11"/>
        <v>384161.98921492812</v>
      </c>
      <c r="M19" s="81"/>
      <c r="N19" s="81">
        <f t="shared" si="1"/>
        <v>1211473.55</v>
      </c>
      <c r="O19" s="82" t="str">
        <f t="shared" si="8"/>
        <v/>
      </c>
      <c r="P19" s="70"/>
    </row>
    <row r="20" spans="5:16" x14ac:dyDescent="0.25">
      <c r="E20" s="79">
        <f t="shared" si="0"/>
        <v>15</v>
      </c>
      <c r="F20" s="72">
        <f t="shared" si="9"/>
        <v>4101871.4499999993</v>
      </c>
      <c r="G20" s="81">
        <f t="shared" si="3"/>
        <v>825774.91282821214</v>
      </c>
      <c r="H20" s="81">
        <f t="shared" si="4"/>
        <v>385698.63717178785</v>
      </c>
      <c r="I20" s="81">
        <f t="shared" si="10"/>
        <v>1211473.55</v>
      </c>
      <c r="J20" s="81">
        <f>IF(E20="","",IF(Δάνειο!I19="",0,Δάνειο!I19))</f>
        <v>0</v>
      </c>
      <c r="K20" s="81">
        <f>IF(E20&lt;&gt;"",K19*(1+'Γενικά Δεδομένα'!$I$5),"")</f>
        <v>385698.63717178785</v>
      </c>
      <c r="L20" s="81">
        <f t="shared" si="11"/>
        <v>385698.63717178785</v>
      </c>
      <c r="M20" s="81"/>
      <c r="N20" s="81">
        <f t="shared" si="1"/>
        <v>1211473.55</v>
      </c>
      <c r="O20" s="82" t="str">
        <f t="shared" si="8"/>
        <v/>
      </c>
      <c r="P20" s="70"/>
    </row>
    <row r="21" spans="5:16" x14ac:dyDescent="0.25">
      <c r="E21" s="70"/>
      <c r="F21" s="86"/>
      <c r="G21" s="70"/>
      <c r="H21" s="70"/>
      <c r="I21" s="70"/>
      <c r="J21" s="70"/>
      <c r="K21" s="70"/>
      <c r="L21" s="70"/>
      <c r="M21" s="70"/>
      <c r="N21" s="70" t="str">
        <f>IF($F25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c r="O21" s="70"/>
      <c r="P21" s="70"/>
    </row>
    <row r="22" spans="5:16" x14ac:dyDescent="0.25">
      <c r="E22" s="53" t="s">
        <v>129</v>
      </c>
      <c r="J22" s="87"/>
      <c r="K22" s="87"/>
      <c r="L22" s="87"/>
      <c r="M22" s="70"/>
      <c r="N22" s="70"/>
      <c r="O22" s="70"/>
      <c r="P22" s="70"/>
    </row>
    <row r="23" spans="5:16" ht="15.75" thickBot="1" x14ac:dyDescent="0.3">
      <c r="E23" s="53" t="s">
        <v>154</v>
      </c>
      <c r="I23" s="100"/>
      <c r="J23" s="87"/>
      <c r="K23" s="87"/>
      <c r="L23" s="87"/>
      <c r="M23" s="70"/>
      <c r="N23" s="70"/>
      <c r="O23" s="70"/>
      <c r="P23" s="70"/>
    </row>
    <row r="24" spans="5:16" ht="13.9" customHeight="1" thickBot="1" x14ac:dyDescent="0.3">
      <c r="E24" s="297" t="s">
        <v>90</v>
      </c>
      <c r="F24" s="298"/>
      <c r="G24" s="298"/>
      <c r="H24" s="149">
        <f>IF(C10=0,"Μη Διαθέσιμη Τιμή",(C10+NPV(C15,L6:L20))/SUM(F6:F20))*1000</f>
        <v>140.49211342303931</v>
      </c>
      <c r="I24" s="148" t="s">
        <v>285</v>
      </c>
      <c r="J24" s="92"/>
      <c r="K24" s="87"/>
      <c r="L24" s="87"/>
      <c r="M24" s="70"/>
      <c r="N24" s="70"/>
      <c r="O24" s="70"/>
      <c r="P24" s="70"/>
    </row>
    <row r="25" spans="5:16" x14ac:dyDescent="0.25">
      <c r="E25" s="91"/>
      <c r="I25" s="69"/>
      <c r="J25" s="100"/>
      <c r="K25" s="96"/>
      <c r="L25" s="97"/>
      <c r="M25" s="70"/>
      <c r="N25" s="70"/>
      <c r="O25" s="70"/>
      <c r="P25" s="70"/>
    </row>
    <row r="26" spans="5:16" x14ac:dyDescent="0.25">
      <c r="E26" s="58"/>
      <c r="I26" s="69"/>
      <c r="J26" s="100"/>
      <c r="K26" s="96"/>
      <c r="L26" s="70"/>
      <c r="M26" s="70"/>
      <c r="N26" s="70"/>
      <c r="O26" s="96"/>
      <c r="P26" s="70"/>
    </row>
    <row r="27" spans="5:16" x14ac:dyDescent="0.25">
      <c r="I27" s="69"/>
      <c r="J27" s="100"/>
      <c r="K27" s="96"/>
    </row>
    <row r="28" spans="5:16" x14ac:dyDescent="0.25">
      <c r="I28" s="69"/>
      <c r="J28" s="100"/>
      <c r="K28" s="96"/>
    </row>
    <row r="29" spans="5:16" x14ac:dyDescent="0.25">
      <c r="I29" s="69"/>
      <c r="J29" s="100"/>
    </row>
    <row r="30" spans="5:16" x14ac:dyDescent="0.25">
      <c r="I30" s="69"/>
      <c r="J30" s="100"/>
    </row>
    <row r="31" spans="5:16" x14ac:dyDescent="0.25">
      <c r="J31" s="100"/>
    </row>
    <row r="32" spans="5:16" x14ac:dyDescent="0.25">
      <c r="J32" s="100"/>
      <c r="N32" s="53" t="str">
        <f>IF($E32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3" spans="10:14" x14ac:dyDescent="0.25">
      <c r="J33" s="100"/>
      <c r="N33" s="53" t="str">
        <f>IF($E33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4" spans="10:14" x14ac:dyDescent="0.25">
      <c r="J34" s="100"/>
      <c r="N34" s="53" t="str">
        <f>IF($E34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5" spans="10:14" x14ac:dyDescent="0.25">
      <c r="J35" s="100"/>
      <c r="N35" s="53" t="str">
        <f>IF($E35="","",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6" spans="10:14" x14ac:dyDescent="0.25">
      <c r="J36" s="100"/>
      <c r="N36" s="53" t="str">
        <f>IF($E36="","",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7" spans="10:14" x14ac:dyDescent="0.25">
      <c r="N37" s="53" t="str">
        <f>IF($E37="","",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8" spans="10:14" x14ac:dyDescent="0.25">
      <c r="N38" s="53" t="str">
        <f>IF($E38="","",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39" spans="10:14" x14ac:dyDescent="0.25">
      <c r="N39" s="53" t="str">
        <f>IF($E39="","",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0" spans="10:14" x14ac:dyDescent="0.25">
      <c r="N40" s="53" t="str">
        <f>IF($E40="","",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1" spans="10:14" x14ac:dyDescent="0.25">
      <c r="N41" s="53" t="str">
        <f>IF($E41="","",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2" spans="10:14" x14ac:dyDescent="0.25">
      <c r="N42" s="53" t="str">
        <f>IF($E42="","",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3" spans="10:14" x14ac:dyDescent="0.25">
      <c r="N43" s="53" t="str">
        <f>IF($E43="","",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row r="44" spans="10:14" x14ac:dyDescent="0.25">
      <c r="N44" s="53" t="str">
        <f>IF($E44="","",Συνολικό_Κόστος_Ετήσιας_Κατανάλωσης_Ενέργειας_Δυκτίου_Φωτισμού_με_Συμβατκούς_Λαμπτήρες+Ετησιο_Κόστος_Συντήρησης_Δυκτίου_Φωτισμού_με_Συμβατκούς_Λαμπτήρες)</f>
        <v/>
      </c>
    </row>
  </sheetData>
  <sheetProtection algorithmName="SHA-512" hashValue="s0YZFUdZl7Rj6/Ng387p0U/ZRkeK5nWi44t0q1+M1gUo7tvhfnC2lnk+42rTcLLh5ANtwvVTkOqzV+89AR06vQ==" saltValue="Cie90K/xIVC/DoaUD3+JVg==" spinCount="100000" sheet="1" objects="1" scenarios="1"/>
  <mergeCells count="2">
    <mergeCell ref="H2:I2"/>
    <mergeCell ref="E24:G24"/>
  </mergeCells>
  <dataValidations count="1">
    <dataValidation type="whole" allowBlank="1" showInputMessage="1" showErrorMessage="1" sqref="C3">
      <formula1>0</formula1>
      <formula2>15</formula2>
    </dataValidation>
  </dataValidations>
  <pageMargins left="0.7" right="0.7" top="0.75" bottom="0.75" header="0.3" footer="0.3"/>
  <pageSetup paperSize="9" orientation="portrait" horizontalDpi="4294967293"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1"/>
  <sheetViews>
    <sheetView topLeftCell="A22" workbookViewId="0">
      <selection activeCell="I38" sqref="I38"/>
    </sheetView>
  </sheetViews>
  <sheetFormatPr defaultColWidth="8.85546875" defaultRowHeight="15" x14ac:dyDescent="0.25"/>
  <cols>
    <col min="1" max="1" width="36" style="53" bestFit="1" customWidth="1"/>
    <col min="2" max="2" width="13.5703125" style="53" bestFit="1" customWidth="1"/>
    <col min="3" max="6" width="8.85546875" style="53"/>
    <col min="7" max="7" width="6.85546875" style="53" customWidth="1"/>
    <col min="8" max="8" width="21.85546875" style="53" bestFit="1" customWidth="1"/>
    <col min="9" max="9" width="15.42578125" style="53" bestFit="1" customWidth="1"/>
    <col min="10" max="10" width="13" style="53" customWidth="1"/>
    <col min="11" max="11" width="11.5703125" style="53" bestFit="1" customWidth="1"/>
    <col min="12" max="12" width="13.28515625" style="53" customWidth="1"/>
    <col min="13" max="16384" width="8.85546875" style="53"/>
  </cols>
  <sheetData>
    <row r="3" spans="1:14" x14ac:dyDescent="0.25">
      <c r="A3" s="299" t="s">
        <v>91</v>
      </c>
      <c r="B3" s="299"/>
      <c r="G3" s="54" t="s">
        <v>126</v>
      </c>
      <c r="H3" s="54" t="s">
        <v>104</v>
      </c>
      <c r="I3" s="54" t="s">
        <v>105</v>
      </c>
      <c r="J3" s="54" t="s">
        <v>106</v>
      </c>
      <c r="K3" s="54" t="s">
        <v>107</v>
      </c>
      <c r="L3" s="54" t="s">
        <v>108</v>
      </c>
    </row>
    <row r="4" spans="1:14" x14ac:dyDescent="0.25">
      <c r="A4" s="60" t="s">
        <v>92</v>
      </c>
      <c r="B4" s="61">
        <f>Οικονομικότητα!C11</f>
        <v>0</v>
      </c>
      <c r="G4" s="55"/>
      <c r="H4" s="55"/>
      <c r="I4" s="55"/>
      <c r="J4" s="55"/>
      <c r="K4" s="55"/>
      <c r="L4" s="56">
        <f>+B4</f>
        <v>0</v>
      </c>
    </row>
    <row r="5" spans="1:14" x14ac:dyDescent="0.25">
      <c r="A5" s="60" t="s">
        <v>93</v>
      </c>
      <c r="B5" s="62">
        <v>3.3000000000000002E-2</v>
      </c>
      <c r="G5" s="55">
        <v>1</v>
      </c>
      <c r="H5" s="57">
        <f>IF(G5&lt;B6,B7,"")</f>
        <v>43101</v>
      </c>
      <c r="I5" s="56">
        <f>IF(H5&lt;&gt;"",$B$13,"")</f>
        <v>0</v>
      </c>
      <c r="J5" s="56">
        <f>IF(H5="","",$B$5*L4)</f>
        <v>0</v>
      </c>
      <c r="K5" s="56">
        <f>IF(H5="","",I5-J5)</f>
        <v>0</v>
      </c>
      <c r="L5" s="56">
        <f>IF(H5="","",L4-K5)</f>
        <v>0</v>
      </c>
      <c r="N5" s="88"/>
    </row>
    <row r="6" spans="1:14" x14ac:dyDescent="0.25">
      <c r="A6" s="60" t="s">
        <v>94</v>
      </c>
      <c r="B6" s="63">
        <f>+'Γενικά Δεδομένα'!I21</f>
        <v>10</v>
      </c>
      <c r="G6" s="55">
        <f>+G5+1</f>
        <v>2</v>
      </c>
      <c r="H6" s="57">
        <f>IF(G6&lt;=$B$6,H5+365,"")</f>
        <v>43466</v>
      </c>
      <c r="I6" s="56">
        <f t="shared" ref="I6:I19" si="0">IF(H6&lt;&gt;"",$B$13,"")</f>
        <v>0</v>
      </c>
      <c r="J6" s="56">
        <f t="shared" ref="J6:J19" si="1">IF(H6="","",$B$5*L5)</f>
        <v>0</v>
      </c>
      <c r="K6" s="56">
        <f t="shared" ref="K6:K19" si="2">IF(H6="","",I6-J6)</f>
        <v>0</v>
      </c>
      <c r="L6" s="56">
        <f t="shared" ref="L6:L19" si="3">IF(H6="","",L5-K6)</f>
        <v>0</v>
      </c>
    </row>
    <row r="7" spans="1:14" x14ac:dyDescent="0.25">
      <c r="A7" s="60" t="s">
        <v>95</v>
      </c>
      <c r="B7" s="64">
        <v>43101</v>
      </c>
      <c r="G7" s="55">
        <f t="shared" ref="G7:G19" si="4">+G6+1</f>
        <v>3</v>
      </c>
      <c r="H7" s="57">
        <f t="shared" ref="H7:H19" si="5">IF(G7&lt;=$B$6,H6+365,"")</f>
        <v>43831</v>
      </c>
      <c r="I7" s="56">
        <f t="shared" si="0"/>
        <v>0</v>
      </c>
      <c r="J7" s="56">
        <f t="shared" si="1"/>
        <v>0</v>
      </c>
      <c r="K7" s="56">
        <f t="shared" si="2"/>
        <v>0</v>
      </c>
      <c r="L7" s="56">
        <f t="shared" si="3"/>
        <v>0</v>
      </c>
    </row>
    <row r="8" spans="1:14" x14ac:dyDescent="0.25">
      <c r="A8" s="60" t="s">
        <v>96</v>
      </c>
      <c r="B8" s="65" t="s">
        <v>97</v>
      </c>
      <c r="G8" s="55">
        <f t="shared" si="4"/>
        <v>4</v>
      </c>
      <c r="H8" s="57">
        <f>IF(G8&lt;=$B$6,H7+366,"")</f>
        <v>44197</v>
      </c>
      <c r="I8" s="56">
        <f t="shared" si="0"/>
        <v>0</v>
      </c>
      <c r="J8" s="56">
        <f t="shared" si="1"/>
        <v>0</v>
      </c>
      <c r="K8" s="56">
        <f t="shared" si="2"/>
        <v>0</v>
      </c>
      <c r="L8" s="56">
        <f t="shared" si="3"/>
        <v>0</v>
      </c>
    </row>
    <row r="9" spans="1:14" x14ac:dyDescent="0.25">
      <c r="A9" s="66"/>
      <c r="B9" s="66"/>
      <c r="G9" s="55">
        <f t="shared" si="4"/>
        <v>5</v>
      </c>
      <c r="H9" s="57">
        <f t="shared" si="5"/>
        <v>44562</v>
      </c>
      <c r="I9" s="56">
        <f t="shared" si="0"/>
        <v>0</v>
      </c>
      <c r="J9" s="56">
        <f t="shared" si="1"/>
        <v>0</v>
      </c>
      <c r="K9" s="56">
        <f t="shared" si="2"/>
        <v>0</v>
      </c>
      <c r="L9" s="56">
        <f t="shared" si="3"/>
        <v>0</v>
      </c>
    </row>
    <row r="10" spans="1:14" x14ac:dyDescent="0.25">
      <c r="A10" s="300" t="s">
        <v>98</v>
      </c>
      <c r="B10" s="300"/>
      <c r="G10" s="55">
        <f t="shared" si="4"/>
        <v>6</v>
      </c>
      <c r="H10" s="57">
        <f t="shared" si="5"/>
        <v>44927</v>
      </c>
      <c r="I10" s="56">
        <f t="shared" si="0"/>
        <v>0</v>
      </c>
      <c r="J10" s="56">
        <f t="shared" si="1"/>
        <v>0</v>
      </c>
      <c r="K10" s="56">
        <f t="shared" si="2"/>
        <v>0</v>
      </c>
      <c r="L10" s="56">
        <f t="shared" si="3"/>
        <v>0</v>
      </c>
    </row>
    <row r="11" spans="1:14" x14ac:dyDescent="0.25">
      <c r="A11" s="60" t="s">
        <v>99</v>
      </c>
      <c r="B11" s="60">
        <f>+B6</f>
        <v>10</v>
      </c>
      <c r="G11" s="55">
        <f t="shared" si="4"/>
        <v>7</v>
      </c>
      <c r="H11" s="57">
        <f t="shared" si="5"/>
        <v>45292</v>
      </c>
      <c r="I11" s="56">
        <f t="shared" si="0"/>
        <v>0</v>
      </c>
      <c r="J11" s="56">
        <f t="shared" si="1"/>
        <v>0</v>
      </c>
      <c r="K11" s="56">
        <f t="shared" si="2"/>
        <v>0</v>
      </c>
      <c r="L11" s="56">
        <f t="shared" si="3"/>
        <v>0</v>
      </c>
    </row>
    <row r="12" spans="1:14" x14ac:dyDescent="0.25">
      <c r="A12" s="60" t="s">
        <v>100</v>
      </c>
      <c r="B12" s="67">
        <f>+B5</f>
        <v>3.3000000000000002E-2</v>
      </c>
      <c r="G12" s="55">
        <f t="shared" si="4"/>
        <v>8</v>
      </c>
      <c r="H12" s="57">
        <f>IF(G12&lt;=$B$6,H11+366,"")</f>
        <v>45658</v>
      </c>
      <c r="I12" s="56">
        <f t="shared" si="0"/>
        <v>0</v>
      </c>
      <c r="J12" s="56">
        <f t="shared" si="1"/>
        <v>0</v>
      </c>
      <c r="K12" s="56">
        <f t="shared" si="2"/>
        <v>0</v>
      </c>
      <c r="L12" s="56">
        <f t="shared" si="3"/>
        <v>0</v>
      </c>
    </row>
    <row r="13" spans="1:14" x14ac:dyDescent="0.25">
      <c r="A13" s="60" t="s">
        <v>101</v>
      </c>
      <c r="B13" s="68">
        <f>IF(ISERROR(-PMT(B12,B11,B4)),"Μη Διαθέσιμο",ROUND(-PMT(B12,B11,B4),2))</f>
        <v>0</v>
      </c>
      <c r="G13" s="55">
        <f t="shared" si="4"/>
        <v>9</v>
      </c>
      <c r="H13" s="57">
        <f t="shared" si="5"/>
        <v>46023</v>
      </c>
      <c r="I13" s="56">
        <f t="shared" si="0"/>
        <v>0</v>
      </c>
      <c r="J13" s="56">
        <f t="shared" si="1"/>
        <v>0</v>
      </c>
      <c r="K13" s="56">
        <f t="shared" si="2"/>
        <v>0</v>
      </c>
      <c r="L13" s="56">
        <f t="shared" si="3"/>
        <v>0</v>
      </c>
    </row>
    <row r="14" spans="1:14" x14ac:dyDescent="0.25">
      <c r="A14" s="60" t="s">
        <v>102</v>
      </c>
      <c r="B14" s="68">
        <f>IF(ISERROR(B15-B4),"Μη Διαθέσιμο",ROUND(B15-B4,2))</f>
        <v>0</v>
      </c>
      <c r="G14" s="55">
        <f t="shared" si="4"/>
        <v>10</v>
      </c>
      <c r="H14" s="57">
        <f t="shared" si="5"/>
        <v>46388</v>
      </c>
      <c r="I14" s="56">
        <f t="shared" si="0"/>
        <v>0</v>
      </c>
      <c r="J14" s="56">
        <f t="shared" si="1"/>
        <v>0</v>
      </c>
      <c r="K14" s="56">
        <f t="shared" si="2"/>
        <v>0</v>
      </c>
      <c r="L14" s="56">
        <f t="shared" si="3"/>
        <v>0</v>
      </c>
    </row>
    <row r="15" spans="1:14" x14ac:dyDescent="0.25">
      <c r="A15" s="60" t="s">
        <v>103</v>
      </c>
      <c r="B15" s="68">
        <f>IF(ISERROR(B11*(-PMT(B12,B11,B4))),"Μη Διαθέσιμο",ROUND(B11*(-PMT(B12,B6,B4)),2))</f>
        <v>0</v>
      </c>
      <c r="G15" s="55">
        <f t="shared" si="4"/>
        <v>11</v>
      </c>
      <c r="H15" s="57" t="str">
        <f t="shared" si="5"/>
        <v/>
      </c>
      <c r="I15" s="56" t="str">
        <f t="shared" si="0"/>
        <v/>
      </c>
      <c r="J15" s="56" t="str">
        <f t="shared" si="1"/>
        <v/>
      </c>
      <c r="K15" s="56" t="str">
        <f t="shared" si="2"/>
        <v/>
      </c>
      <c r="L15" s="56" t="str">
        <f t="shared" si="3"/>
        <v/>
      </c>
    </row>
    <row r="16" spans="1:14" x14ac:dyDescent="0.25">
      <c r="G16" s="55">
        <f t="shared" si="4"/>
        <v>12</v>
      </c>
      <c r="H16" s="57" t="str">
        <f>IF(G16&lt;=$B$6,H15+366,"")</f>
        <v/>
      </c>
      <c r="I16" s="56" t="str">
        <f t="shared" si="0"/>
        <v/>
      </c>
      <c r="J16" s="56" t="str">
        <f t="shared" si="1"/>
        <v/>
      </c>
      <c r="K16" s="56" t="str">
        <f t="shared" si="2"/>
        <v/>
      </c>
      <c r="L16" s="56" t="str">
        <f t="shared" si="3"/>
        <v/>
      </c>
    </row>
    <row r="17" spans="7:12" x14ac:dyDescent="0.25">
      <c r="G17" s="55">
        <f t="shared" si="4"/>
        <v>13</v>
      </c>
      <c r="H17" s="57" t="str">
        <f t="shared" si="5"/>
        <v/>
      </c>
      <c r="I17" s="56" t="str">
        <f t="shared" si="0"/>
        <v/>
      </c>
      <c r="J17" s="56" t="str">
        <f t="shared" si="1"/>
        <v/>
      </c>
      <c r="K17" s="56" t="str">
        <f t="shared" si="2"/>
        <v/>
      </c>
      <c r="L17" s="56" t="str">
        <f t="shared" si="3"/>
        <v/>
      </c>
    </row>
    <row r="18" spans="7:12" x14ac:dyDescent="0.25">
      <c r="G18" s="55">
        <f t="shared" si="4"/>
        <v>14</v>
      </c>
      <c r="H18" s="57" t="str">
        <f t="shared" si="5"/>
        <v/>
      </c>
      <c r="I18" s="56" t="str">
        <f t="shared" si="0"/>
        <v/>
      </c>
      <c r="J18" s="56" t="str">
        <f t="shared" si="1"/>
        <v/>
      </c>
      <c r="K18" s="56" t="str">
        <f t="shared" si="2"/>
        <v/>
      </c>
      <c r="L18" s="56" t="str">
        <f t="shared" si="3"/>
        <v/>
      </c>
    </row>
    <row r="19" spans="7:12" x14ac:dyDescent="0.25">
      <c r="G19" s="55">
        <f t="shared" si="4"/>
        <v>15</v>
      </c>
      <c r="H19" s="57" t="str">
        <f t="shared" si="5"/>
        <v/>
      </c>
      <c r="I19" s="56" t="str">
        <f t="shared" si="0"/>
        <v/>
      </c>
      <c r="J19" s="56" t="str">
        <f t="shared" si="1"/>
        <v/>
      </c>
      <c r="K19" s="56" t="str">
        <f t="shared" si="2"/>
        <v/>
      </c>
      <c r="L19" s="56" t="str">
        <f t="shared" si="3"/>
        <v/>
      </c>
    </row>
    <row r="21" spans="7:12" ht="31.9" customHeight="1" x14ac:dyDescent="0.25">
      <c r="G21" s="301" t="s">
        <v>125</v>
      </c>
      <c r="H21" s="301"/>
      <c r="I21" s="301"/>
      <c r="J21" s="301"/>
      <c r="K21" s="301"/>
      <c r="L21" s="301"/>
    </row>
  </sheetData>
  <sheetProtection algorithmName="SHA-512" hashValue="VGXUifLwIsXUvRwrivXc5jM4dF9xan/caoeaUDmlVY3l9fDge6gaBtFq1cA9O76Gc0o+46UVjdomCnJJKkRqPA==" saltValue="x1+xeIUgvLZ7fFuVVqqHxA==" spinCount="100000" sheet="1" objects="1" scenarios="1"/>
  <mergeCells count="3">
    <mergeCell ref="A3:B3"/>
    <mergeCell ref="A10:B10"/>
    <mergeCell ref="G21:L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Καθορισμένες περιοχές</vt:lpstr>
      </vt:variant>
      <vt:variant>
        <vt:i4>3</vt:i4>
      </vt:variant>
    </vt:vector>
  </HeadingPairs>
  <TitlesOfParts>
    <vt:vector size="14" baseType="lpstr">
      <vt:lpstr>Περιγραφή Έργου</vt:lpstr>
      <vt:lpstr>Γενικά Δεδομένα</vt:lpstr>
      <vt:lpstr>Συμβατικά ΦΣ</vt:lpstr>
      <vt:lpstr>Νέα ΦΣ</vt:lpstr>
      <vt:lpstr>Βραχίονες</vt:lpstr>
      <vt:lpstr>Αποτελέσματα</vt:lpstr>
      <vt:lpstr>Υπολογισμοί</vt:lpstr>
      <vt:lpstr>Οικονομικότητα</vt:lpstr>
      <vt:lpstr>Δάνειο</vt:lpstr>
      <vt:lpstr>Βοήθεια</vt:lpstr>
      <vt:lpstr>Πίνακες Αιτήματος</vt:lpstr>
      <vt:lpstr>fs_led</vt:lpstr>
      <vt:lpstr>fs_non_led</vt:lpstr>
      <vt:lpstr>min_luminary_efficacy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2017-11-09T10:44:10Z</dcterms:modified>
</cp:coreProperties>
</file>